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NHU12GL1WIC01\dfsgreen\C&amp;K Green Database\2-Generic Compliance Documents\Current Documents\WW Documents\"/>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19200" windowHeight="67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28" i="5"/>
  <c r="T69" i="5"/>
  <c r="T60" i="5"/>
  <c r="S90" i="5"/>
  <c r="T68" i="5"/>
  <c r="T89" i="5"/>
  <c r="S34" i="5"/>
  <c r="T80" i="5"/>
  <c r="T45" i="5"/>
  <c r="T65" i="5"/>
  <c r="T20" i="5"/>
  <c r="T52" i="5"/>
  <c r="S38" i="5"/>
  <c r="T84" i="5"/>
  <c r="T19" i="5"/>
  <c r="T40" i="5"/>
  <c r="T76" i="5"/>
  <c r="S82" i="5"/>
  <c r="T77" i="5"/>
  <c r="T33" i="5"/>
  <c r="T73" i="5"/>
  <c r="T81" i="5"/>
  <c r="S70" i="5"/>
  <c r="S48" i="5"/>
  <c r="S66" i="5"/>
  <c r="T36" i="5"/>
  <c r="S46" i="5"/>
  <c r="T41" i="5"/>
  <c r="S78" i="5"/>
  <c r="T85" i="5"/>
  <c r="S76" i="5"/>
  <c r="S54" i="5"/>
  <c r="S22" i="5"/>
  <c r="T26" i="5"/>
  <c r="T88" i="5"/>
  <c r="S42" i="5"/>
  <c r="S58" i="5"/>
  <c r="S44" i="5"/>
  <c r="S62" i="5"/>
  <c r="S74" i="5"/>
  <c r="T57" i="5"/>
  <c r="T61" i="5"/>
  <c r="T56" i="5"/>
  <c r="T72" i="5"/>
  <c r="S86" i="5"/>
  <c r="T64" i="5"/>
  <c r="T53" i="5"/>
  <c r="T49" i="5"/>
  <c r="S50" i="5"/>
  <c r="T37" i="5"/>
  <c r="R86" i="5" l="1"/>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X75" i="5"/>
  <c r="I764" i="5"/>
  <c r="I2158" i="5"/>
  <c r="R7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X78" i="5"/>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E97" i="5"/>
  <c r="X97" i="5" s="1"/>
  <c r="X79" i="5"/>
  <c r="X47" i="5"/>
  <c r="H127" i="5"/>
  <c r="R127" i="5"/>
  <c r="J127" i="5"/>
  <c r="I127" i="5"/>
  <c r="E127" i="5"/>
  <c r="X127" i="5" s="1"/>
  <c r="T144" i="5"/>
  <c r="S144" i="5"/>
  <c r="T320" i="5"/>
  <c r="S320" i="5"/>
  <c r="V330" i="5"/>
  <c r="G330" i="5" s="1"/>
  <c r="T895" i="5"/>
  <c r="AB895" i="5"/>
  <c r="S895" i="5"/>
  <c r="AB1863" i="5"/>
  <c r="T1863" i="5"/>
  <c r="S1863" i="5"/>
  <c r="R54" i="5"/>
  <c r="R74" i="5"/>
  <c r="X90" i="5"/>
  <c r="V91" i="5"/>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X26" i="5"/>
  <c r="X63" i="5"/>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R22" i="5"/>
  <c r="V87" i="5"/>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J107" i="5"/>
  <c r="S178" i="5"/>
  <c r="AB178" i="5"/>
  <c r="T178" i="5"/>
  <c r="V215" i="5"/>
  <c r="G215" i="5" s="1"/>
  <c r="R299" i="5"/>
  <c r="J299" i="5"/>
  <c r="T312" i="5"/>
  <c r="S312" i="5"/>
  <c r="T379" i="5"/>
  <c r="S379" i="5"/>
  <c r="E392" i="5"/>
  <c r="X392" i="5" s="1"/>
  <c r="I392" i="5"/>
  <c r="H392" i="5"/>
  <c r="X62" i="5"/>
  <c r="S110" i="5"/>
  <c r="AB110" i="5"/>
  <c r="R30" i="5"/>
  <c r="V71"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F109" i="5"/>
  <c r="R109" i="5"/>
  <c r="G133" i="5"/>
  <c r="R133" i="5"/>
  <c r="F133" i="5"/>
  <c r="F169" i="5"/>
  <c r="R169" i="5"/>
  <c r="G169" i="5"/>
  <c r="E169" i="5"/>
  <c r="X169" i="5" s="1"/>
  <c r="H195" i="5"/>
  <c r="F195" i="5"/>
  <c r="E195" i="5"/>
  <c r="X195" i="5" s="1"/>
  <c r="R195" i="5"/>
  <c r="I195" i="5"/>
  <c r="J195" i="5"/>
  <c r="G195" i="5"/>
  <c r="R67" i="5"/>
  <c r="X67" i="5"/>
  <c r="R19" i="5"/>
  <c r="X19" i="5"/>
  <c r="X35" i="5"/>
  <c r="R35" i="5"/>
  <c r="H139" i="5"/>
  <c r="R139" i="5"/>
  <c r="J139" i="5"/>
  <c r="I139" i="5"/>
  <c r="E139" i="5"/>
  <c r="X139" i="5" s="1"/>
  <c r="F139" i="5"/>
  <c r="E193" i="5"/>
  <c r="X193" i="5" s="1"/>
  <c r="F193" i="5"/>
  <c r="H227" i="5"/>
  <c r="E227" i="5"/>
  <c r="X227" i="5" s="1"/>
  <c r="R227" i="5"/>
  <c r="F227" i="5"/>
  <c r="J227" i="5"/>
  <c r="I227" i="5"/>
  <c r="R41" i="5"/>
  <c r="X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X27" i="5"/>
  <c r="R27" i="5"/>
  <c r="R83" i="5"/>
  <c r="X83" i="5"/>
  <c r="R51" i="5"/>
  <c r="X51" i="5"/>
  <c r="R77" i="5"/>
  <c r="X77" i="5"/>
  <c r="R89" i="5"/>
  <c r="X89" i="5"/>
  <c r="E129" i="5"/>
  <c r="X129" i="5" s="1"/>
  <c r="F129" i="5"/>
  <c r="H199" i="5"/>
  <c r="R199" i="5"/>
  <c r="J199" i="5"/>
  <c r="I199" i="5"/>
  <c r="F199" i="5"/>
  <c r="G199" i="5"/>
  <c r="E199" i="5"/>
  <c r="X199" i="5" s="1"/>
  <c r="H131" i="5"/>
  <c r="F131" i="5"/>
  <c r="E131" i="5"/>
  <c r="X131" i="5" s="1"/>
  <c r="I131" i="5"/>
  <c r="R131" i="5"/>
  <c r="J131" i="5"/>
  <c r="G131" i="5"/>
  <c r="R57" i="5"/>
  <c r="X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c r="F113" i="5"/>
  <c r="E113" i="5"/>
  <c r="X113" i="5" s="1"/>
  <c r="R113" i="5"/>
  <c r="H155" i="5"/>
  <c r="R155" i="5"/>
  <c r="J155" i="5"/>
  <c r="I155" i="5"/>
  <c r="E155" i="5"/>
  <c r="X155" i="5" s="1"/>
  <c r="F155" i="5"/>
  <c r="H203" i="5"/>
  <c r="R203" i="5"/>
  <c r="J203" i="5"/>
  <c r="I203" i="5"/>
  <c r="E203" i="5"/>
  <c r="X203" i="5" s="1"/>
  <c r="F203" i="5"/>
  <c r="R249" i="5"/>
  <c r="E249" i="5"/>
  <c r="X249" i="5" s="1"/>
  <c r="F249" i="5"/>
  <c r="R39" i="5"/>
  <c r="R5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X34" i="5"/>
  <c r="R42" i="5"/>
  <c r="X45" i="5"/>
  <c r="X55"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R58" i="5"/>
  <c r="X23" i="5"/>
  <c r="AB26" i="5"/>
  <c r="X39" i="5"/>
  <c r="AB22" i="5"/>
  <c r="R25" i="5"/>
  <c r="X38" i="5"/>
  <c r="R47" i="5"/>
  <c r="X54" i="5"/>
  <c r="R63" i="5"/>
  <c r="X70" i="5"/>
  <c r="R79" i="5"/>
  <c r="X86"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33" i="5"/>
  <c r="X49" i="5"/>
  <c r="X65" i="5"/>
  <c r="X8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X37" i="5"/>
  <c r="X53" i="5"/>
  <c r="X69" i="5"/>
  <c r="X85"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X20" i="5"/>
  <c r="AB20" i="5"/>
  <c r="R21" i="5"/>
  <c r="AB28" i="5"/>
  <c r="R29" i="5"/>
  <c r="AB34" i="5"/>
  <c r="AB38" i="5"/>
  <c r="AB42" i="5"/>
  <c r="AB46" i="5"/>
  <c r="AB50" i="5"/>
  <c r="AB54" i="5"/>
  <c r="AB58" i="5"/>
  <c r="AB62" i="5"/>
  <c r="AB66" i="5"/>
  <c r="AB70" i="5"/>
  <c r="AB74" i="5"/>
  <c r="AB78" i="5"/>
  <c r="AB82" i="5"/>
  <c r="AB86"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AB21" i="5"/>
  <c r="AB29" i="5"/>
  <c r="AB35" i="5"/>
  <c r="AB39" i="5"/>
  <c r="AB43" i="5"/>
  <c r="AB47" i="5"/>
  <c r="AB51" i="5"/>
  <c r="AB55" i="5"/>
  <c r="AB59" i="5"/>
  <c r="AB63" i="5"/>
  <c r="AB67" i="5"/>
  <c r="AB71" i="5"/>
  <c r="AB75" i="5"/>
  <c r="AB79" i="5"/>
  <c r="AB83" i="5"/>
  <c r="AB87" i="5"/>
  <c r="AB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X5"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19" i="5"/>
  <c r="X21" i="5"/>
  <c r="AB27" i="5"/>
  <c r="X29" i="5"/>
  <c r="X24" i="5"/>
  <c r="R28" i="5"/>
  <c r="X32" i="5"/>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AB25" i="5"/>
  <c r="AB37" i="5"/>
  <c r="AB45" i="5"/>
  <c r="AB53" i="5"/>
  <c r="AB57" i="5"/>
  <c r="AB61" i="5"/>
  <c r="AB65" i="5"/>
  <c r="AB69" i="5"/>
  <c r="AB73" i="5"/>
  <c r="AB81"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33" i="5"/>
  <c r="AB41" i="5"/>
  <c r="AB49" i="5"/>
  <c r="AB77" i="5"/>
  <c r="AB85" i="5"/>
  <c r="S93" i="5"/>
  <c r="AB93" i="5"/>
  <c r="S97" i="5"/>
  <c r="AB97" i="5"/>
  <c r="H118" i="5"/>
  <c r="F122" i="5"/>
  <c r="R122" i="5"/>
  <c r="J122" i="5"/>
  <c r="J125" i="5"/>
  <c r="I125" i="5"/>
  <c r="H125" i="5"/>
  <c r="T137" i="5"/>
  <c r="R18" i="5"/>
  <c r="X22" i="5"/>
  <c r="R23" i="5"/>
  <c r="R26" i="5"/>
  <c r="X30" i="5"/>
  <c r="R31" i="5"/>
  <c r="X36" i="5"/>
  <c r="X40" i="5"/>
  <c r="X44" i="5"/>
  <c r="X48" i="5"/>
  <c r="X52" i="5"/>
  <c r="X56" i="5"/>
  <c r="X60" i="5"/>
  <c r="X64" i="5"/>
  <c r="X68" i="5"/>
  <c r="X72" i="5"/>
  <c r="X76" i="5"/>
  <c r="X80" i="5"/>
  <c r="X84" i="5"/>
  <c r="X88"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73" i="5"/>
  <c r="T90" i="5"/>
  <c r="T38" i="5"/>
  <c r="T55" i="5"/>
  <c r="S57" i="5"/>
  <c r="S33" i="5"/>
  <c r="T74" i="5"/>
  <c r="S71" i="5"/>
  <c r="S36" i="5"/>
  <c r="S41" i="5"/>
  <c r="T86" i="5"/>
  <c r="T24" i="5"/>
  <c r="T91" i="5"/>
  <c r="T87" i="5"/>
  <c r="S91" i="5"/>
  <c r="S29" i="5"/>
  <c r="S80" i="5"/>
  <c r="S63" i="5"/>
  <c r="T75" i="5"/>
  <c r="T70" i="5"/>
  <c r="T39" i="5"/>
  <c r="S32" i="5"/>
  <c r="T42" i="5"/>
  <c r="S45" i="5"/>
  <c r="S28" i="5"/>
  <c r="T51" i="5"/>
  <c r="S69" i="5"/>
  <c r="S67" i="5"/>
  <c r="T78" i="5"/>
  <c r="S68" i="5"/>
  <c r="T21" i="5"/>
  <c r="S53" i="5"/>
  <c r="S87" i="5"/>
  <c r="S18" i="5"/>
  <c r="S35" i="5"/>
  <c r="T46" i="5"/>
  <c r="T48" i="5"/>
  <c r="T66" i="5"/>
  <c r="S40" i="5"/>
  <c r="S88" i="5"/>
  <c r="S23" i="5"/>
  <c r="S85" i="5"/>
  <c r="T6" i="5"/>
  <c r="S30" i="5"/>
  <c r="S65" i="5"/>
  <c r="S37" i="5"/>
  <c r="T22" i="5"/>
  <c r="S43" i="5"/>
  <c r="T50" i="5"/>
  <c r="T59" i="5"/>
  <c r="T54" i="5"/>
  <c r="T58" i="5"/>
  <c r="S52" i="5"/>
  <c r="T63" i="5"/>
  <c r="S84" i="5"/>
  <c r="S83" i="5"/>
  <c r="S56" i="5"/>
  <c r="S77" i="5"/>
  <c r="S81" i="5"/>
  <c r="T32" i="5"/>
  <c r="S25" i="5"/>
  <c r="T5" i="5"/>
  <c r="T67" i="5"/>
  <c r="T18" i="5"/>
  <c r="T34" i="5"/>
  <c r="T29" i="5"/>
  <c r="S75" i="5"/>
  <c r="S26" i="5"/>
  <c r="S39" i="5"/>
  <c r="T47" i="5"/>
  <c r="T31" i="5"/>
  <c r="S60" i="5"/>
  <c r="S61" i="5"/>
  <c r="T44" i="5"/>
  <c r="S59" i="5"/>
  <c r="T79" i="5"/>
  <c r="T43" i="5"/>
  <c r="T71" i="5"/>
  <c r="T25" i="5"/>
  <c r="T27" i="5"/>
  <c r="T30" i="5"/>
  <c r="T35" i="5"/>
  <c r="S47" i="5"/>
  <c r="T62" i="5"/>
  <c r="S55" i="5"/>
  <c r="S64" i="5"/>
  <c r="S72" i="5"/>
  <c r="S20" i="5"/>
  <c r="S89" i="5"/>
  <c r="T83" i="5"/>
  <c r="S79" i="5"/>
  <c r="S21" i="5"/>
  <c r="S24" i="5"/>
  <c r="S19" i="5"/>
  <c r="T82" i="5"/>
  <c r="S31" i="5"/>
  <c r="S51" i="5"/>
  <c r="S49" i="5"/>
  <c r="S27" i="5"/>
  <c r="B32" i="6" l="1"/>
  <c r="C12" i="6"/>
  <c r="C11" i="6"/>
  <c r="C9" i="6"/>
  <c r="C10" i="6"/>
  <c r="C8" i="6"/>
  <c r="C7" i="6"/>
  <c r="E2409" i="5"/>
  <c r="X2409" i="5" s="1"/>
  <c r="I2116" i="5"/>
  <c r="R1774" i="5"/>
  <c r="R1140" i="5"/>
  <c r="H869" i="5"/>
  <c r="G869" i="5"/>
  <c r="E852" i="5"/>
  <c r="X852" i="5" s="1"/>
  <c r="R754" i="5"/>
  <c r="J439" i="5"/>
  <c r="J411" i="5"/>
  <c r="J293" i="5"/>
  <c r="H277" i="5"/>
  <c r="X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R87" i="5"/>
  <c r="J1842" i="5"/>
  <c r="H1696" i="5"/>
  <c r="E1317" i="5"/>
  <c r="X1317" i="5" s="1"/>
  <c r="J1086" i="5"/>
  <c r="I524" i="5"/>
  <c r="R439" i="5"/>
  <c r="I293"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X43" i="5"/>
  <c r="R43" i="5"/>
  <c r="X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F44" i="6" s="1"/>
  <c r="H44" i="6" s="1"/>
  <c r="D44" i="6" s="1"/>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34" i="6"/>
  <c r="F54" i="6"/>
  <c r="F4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F29" i="6" l="1"/>
  <c r="H29" i="6" s="1"/>
  <c r="F65" i="6"/>
  <c r="F39" i="6"/>
  <c r="H39" i="6" s="1"/>
  <c r="D39"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G68" i="6" s="1"/>
  <c r="H68" i="6" s="1"/>
  <c r="D68" i="6" s="1"/>
  <c r="V13" i="5"/>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10" i="5"/>
  <c r="T16" i="5"/>
  <c r="T14" i="5"/>
  <c r="T17" i="5"/>
  <c r="T13" i="5"/>
  <c r="T7" i="5"/>
  <c r="T15" i="5"/>
  <c r="T11" i="5"/>
  <c r="T9" i="5"/>
  <c r="T8" i="5"/>
  <c r="T12" i="5"/>
  <c r="X13" i="5" l="1"/>
  <c r="X10" i="5"/>
  <c r="D65" i="6"/>
  <c r="X9" i="5"/>
  <c r="X12" i="5"/>
  <c r="X14" i="5"/>
  <c r="X17" i="5"/>
  <c r="D66" i="6"/>
  <c r="C67" i="6"/>
  <c r="X11" i="5"/>
  <c r="X15" i="5"/>
  <c r="X8" i="5"/>
  <c r="X7" i="5"/>
  <c r="G69" i="6"/>
  <c r="H69" i="6" s="1"/>
  <c r="H70" i="6" s="1"/>
  <c r="D2" i="6" s="1"/>
  <c r="X16" i="5"/>
  <c r="D55" i="6"/>
  <c r="C55" i="6"/>
  <c r="D56" i="6"/>
  <c r="C56" i="6"/>
  <c r="S11" i="5"/>
  <c r="S12" i="5"/>
  <c r="S9" i="5"/>
  <c r="S8" i="5"/>
  <c r="S17" i="5"/>
  <c r="S14" i="5"/>
  <c r="S13" i="5"/>
  <c r="S15" i="5"/>
  <c r="S7" i="5"/>
  <c r="S16" i="5"/>
  <c r="S1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<sst xmlns="http://schemas.openxmlformats.org/spreadsheetml/2006/main" count="22570" uniqueCount="15531">
  <si>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</si>
  <si>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</si>
  <si>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</si>
  <si>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</si>
  <si>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</si>
  <si>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</si>
  <si>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</si>
  <si>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</si>
  <si>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</si>
  <si>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</si>
  <si>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</si>
  <si>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</si>
  <si>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</si>
  <si>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</si>
  <si>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</si>
  <si>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</si>
  <si>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</si>
  <si>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</si>
  <si>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</si>
  <si>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</si>
  <si>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</si>
  <si>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</si>
  <si>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</si>
  <si>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</si>
  <si>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</si>
  <si>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</si>
  <si>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</si>
  <si>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</si>
  <si>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</si>
  <si>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</si>
  <si>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</si>
  <si>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</si>
  <si>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</si>
  <si>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</si>
  <si>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</si>
  <si>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</si>
  <si>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</si>
  <si>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</si>
  <si>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</si>
  <si>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</si>
  <si>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</si>
  <si>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</si>
  <si>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</si>
  <si>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</si>
  <si>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</si>
  <si>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</si>
  <si>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</si>
  <si>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</si>
  <si>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</si>
  <si>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</si>
  <si>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</si>
  <si>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</si>
  <si>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</si>
  <si>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</si>
  <si>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</si>
  <si>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</si>
  <si>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</si>
  <si>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</si>
  <si>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</si>
  <si>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</si>
  <si>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</si>
  <si>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</si>
  <si>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</si>
  <si>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</si>
  <si>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</si>
  <si>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</si>
  <si>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</si>
  <si>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</si>
  <si>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</si>
  <si>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</si>
  <si>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</si>
  <si>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</si>
  <si>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</si>
  <si>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</si>
  <si>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</si>
  <si>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</si>
  <si>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</si>
  <si>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</si>
  <si>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</si>
  <si>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</si>
  <si>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</si>
  <si>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</si>
  <si>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</si>
  <si>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</si>
  <si>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</si>
  <si>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</si>
  <si>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</si>
  <si>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</si>
  <si>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</si>
  <si>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</si>
  <si>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</si>
  <si>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</si>
  <si>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</si>
  <si>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</si>
  <si>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</si>
  <si>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</si>
  <si>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</si>
  <si>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</si>
  <si>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</si>
  <si>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</si>
  <si>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</si>
  <si>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</si>
  <si>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</si>
  <si>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</si>
  <si>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</si>
  <si>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</si>
  <si>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</si>
  <si>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</si>
  <si>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</si>
  <si>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</si>
  <si>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</si>
  <si>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</si>
  <si>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</si>
  <si>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</si>
  <si>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</si>
  <si>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</si>
  <si>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</si>
  <si>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</si>
  <si>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</si>
  <si>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</si>
  <si>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</si>
  <si>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</si>
  <si>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</si>
  <si>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</si>
  <si>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</si>
  <si>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</si>
  <si>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</si>
  <si>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</si>
  <si>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</si>
  <si>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</si>
  <si>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</si>
  <si>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</si>
  <si>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</si>
  <si>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</si>
  <si>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</si>
  <si>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</si>
  <si>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</si>
  <si>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</si>
  <si>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</si>
  <si>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</si>
  <si>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</si>
  <si>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</si>
  <si>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</si>
  <si>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</si>
  <si>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</si>
  <si>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</si>
  <si>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</si>
  <si>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</si>
  <si>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</si>
  <si>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</si>
  <si>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</si>
  <si>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</si>
  <si>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</si>
  <si>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</si>
  <si>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</si>
  <si>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</si>
  <si>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</si>
  <si>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</si>
  <si>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</si>
  <si>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</si>
  <si>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</si>
  <si>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</si>
  <si>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</si>
  <si>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</si>
  <si>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</si>
  <si>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</si>
  <si>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</si>
  <si>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</si>
  <si>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</si>
  <si>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</si>
  <si>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</si>
  <si>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</si>
  <si>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</si>
  <si>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</si>
  <si>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</si>
  <si>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</si>
  <si>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</si>
  <si>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</si>
  <si>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</si>
  <si>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</si>
  <si>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</si>
  <si>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</si>
  <si>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</si>
  <si>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</si>
  <si>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</si>
  <si>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</si>
  <si>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</si>
  <si>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</si>
  <si>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</si>
  <si>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</si>
  <si>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</si>
  <si>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</si>
  <si>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</si>
  <si>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</si>
  <si>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</si>
  <si>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</si>
  <si>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</si>
  <si>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</si>
  <si>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</si>
  <si>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</si>
  <si>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</si>
  <si>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</si>
  <si>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</si>
  <si>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</si>
  <si>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</si>
  <si>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</si>
  <si>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</si>
  <si>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</si>
  <si>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</si>
  <si>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</si>
  <si>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</si>
  <si>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</si>
  <si>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</si>
  <si>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</si>
  <si>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</si>
  <si>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</si>
  <si>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</si>
  <si>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</si>
  <si>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</si>
  <si>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</si>
  <si>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</si>
  <si>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</si>
  <si>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</si>
  <si>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</si>
  <si>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</si>
  <si>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</si>
  <si>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</si>
  <si>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</si>
  <si>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</si>
  <si>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</si>
  <si>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</si>
  <si>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</si>
  <si>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</si>
  <si>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</si>
  <si>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</si>
  <si>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</si>
  <si>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</si>
  <si>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</si>
  <si>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</si>
  <si>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</si>
  <si>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</si>
  <si>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</si>
  <si>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</si>
  <si>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</si>
  <si>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</si>
  <si>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</si>
  <si>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</si>
  <si>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</si>
  <si>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</si>
  <si>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</si>
  <si>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</si>
  <si>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</si>
  <si>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</si>
  <si>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</si>
  <si>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</si>
  <si>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</si>
  <si>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</si>
  <si>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</si>
  <si>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</si>
  <si>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</si>
  <si>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</si>
  <si>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</si>
  <si>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</si>
  <si>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</si>
  <si>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</si>
  <si>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</si>
  <si>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</si>
  <si>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</si>
  <si>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</si>
  <si>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</si>
  <si>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</si>
  <si>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</si>
  <si>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</si>
  <si>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</si>
  <si>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</si>
  <si>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</si>
  <si>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</si>
  <si>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</si>
  <si>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</si>
  <si>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</si>
  <si>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</si>
  <si>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</si>
  <si>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</si>
  <si>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</si>
  <si>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</si>
  <si>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</si>
  <si>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</si>
  <si>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</si>
  <si>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</si>
  <si>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</si>
  <si>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</si>
  <si>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</si>
  <si>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</si>
  <si>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</si>
  <si>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</si>
  <si>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</si>
  <si>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</si>
  <si>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</si>
  <si>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</si>
  <si>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</si>
  <si>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</si>
  <si>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</si>
  <si>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</si>
  <si>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</si>
  <si>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</si>
  <si>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</si>
  <si>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</si>
  <si>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</si>
  <si>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</si>
  <si>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</si>
  <si>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</si>
  <si>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</si>
  <si>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</si>
  <si>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</si>
  <si>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</si>
  <si>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</si>
  <si>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</si>
  <si>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</si>
  <si>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</si>
  <si>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</si>
  <si>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</si>
  <si>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</si>
  <si>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</si>
  <si>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</si>
  <si>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</si>
  <si>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</si>
  <si>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</si>
  <si>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</si>
  <si>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</si>
  <si>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</si>
  <si>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</si>
  <si>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</si>
  <si>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</si>
  <si>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</si>
  <si>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</si>
  <si>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</si>
  <si>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</si>
  <si>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</si>
  <si>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</si>
  <si>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</si>
  <si>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</si>
  <si>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</si>
  <si>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</si>
  <si>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</si>
  <si>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</si>
  <si>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</si>
  <si>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</si>
  <si>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</si>
  <si>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</si>
  <si>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</si>
  <si>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</si>
  <si>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</si>
  <si>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</si>
  <si>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</si>
  <si>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</si>
  <si>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</si>
  <si>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</si>
  <si>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</si>
  <si>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</si>
  <si>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</si>
  <si>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</si>
  <si>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</si>
  <si>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</si>
  <si>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</si>
  <si>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</si>
  <si>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</si>
  <si>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</si>
  <si>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</si>
  <si>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</si>
  <si>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</si>
  <si>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</si>
  <si>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</si>
  <si>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</si>
  <si>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</si>
  <si>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</si>
  <si>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</si>
  <si>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</si>
  <si>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</si>
  <si>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</si>
  <si>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</si>
  <si>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</si>
  <si>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</si>
  <si>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</si>
  <si>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</si>
  <si>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</si>
  <si>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</si>
  <si>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</si>
  <si>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</si>
  <si>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</si>
  <si>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</si>
  <si>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</si>
  <si>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</si>
  <si>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</si>
  <si>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</si>
  <si>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</si>
  <si>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</si>
  <si>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</si>
  <si>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</si>
  <si>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</si>
  <si>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</si>
  <si>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</si>
  <si>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</si>
  <si>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</si>
  <si>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</si>
  <si>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</si>
  <si>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</si>
  <si>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</si>
  <si>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</si>
  <si>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</si>
  <si>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</si>
  <si>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</si>
  <si>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</si>
  <si>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</si>
  <si>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</si>
  <si>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</si>
  <si>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</si>
  <si>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</si>
  <si>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</si>
  <si>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</si>
  <si>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</si>
  <si>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</si>
  <si>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</si>
  <si>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</si>
  <si>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</si>
  <si>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</si>
  <si>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</si>
  <si>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</si>
  <si>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</si>
  <si>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</si>
  <si>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</si>
  <si>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</si>
  <si>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</si>
  <si>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</si>
  <si>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</si>
  <si>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</si>
  <si>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</si>
  <si>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</si>
  <si>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</si>
  <si>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</si>
  <si>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</si>
  <si>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</si>
  <si>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</si>
  <si>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</si>
  <si>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</si>
  <si>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</si>
  <si>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</si>
  <si>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</si>
  <si>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</si>
  <si>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</si>
  <si>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</si>
  <si>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</si>
  <si>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</si>
  <si>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</si>
  <si>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</si>
  <si>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</si>
  <si>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</si>
  <si>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</si>
  <si>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</si>
  <si>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</si>
  <si>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</si>
  <si>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</si>
  <si>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</si>
  <si>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</si>
  <si>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</si>
  <si>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</si>
  <si>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</si>
  <si>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</si>
  <si>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</si>
  <si>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</si>
  <si>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</si>
  <si>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</si>
  <si>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</si>
  <si>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</si>
  <si>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</si>
  <si>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</si>
  <si>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</si>
  <si>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</si>
  <si>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</si>
  <si>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</si>
  <si>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</si>
  <si>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</si>
  <si>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</si>
  <si>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</si>
  <si>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</si>
  <si>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</si>
  <si>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</si>
  <si>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</si>
  <si>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</si>
  <si>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</si>
  <si>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</si>
  <si>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</si>
  <si>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</si>
  <si>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</si>
  <si>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</si>
  <si>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</si>
  <si>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</si>
  <si>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</si>
  <si>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</si>
  <si>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</si>
  <si>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</si>
  <si>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</si>
  <si>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</si>
  <si>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</si>
  <si>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</si>
  <si>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</si>
  <si>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</si>
  <si>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</si>
  <si>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</si>
  <si>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</si>
  <si>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</si>
  <si>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</si>
  <si>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</si>
  <si>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</si>
  <si>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</si>
  <si>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</si>
  <si>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</si>
  <si>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</si>
  <si>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</si>
  <si>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</si>
  <si>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</si>
  <si>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</si>
  <si>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</si>
  <si>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</si>
  <si>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</si>
  <si>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</si>
  <si>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</si>
  <si>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</si>
  <si>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</si>
  <si>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</si>
  <si>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</si>
  <si>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</si>
  <si>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</si>
  <si>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</si>
  <si>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</si>
  <si>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</si>
  <si>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</si>
  <si>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</si>
  <si>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</si>
  <si>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</si>
  <si>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</si>
  <si>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</si>
  <si>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</si>
  <si>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</si>
  <si>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</si>
  <si>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</si>
  <si>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</si>
  <si>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</si>
  <si>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</si>
  <si>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</si>
  <si>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</si>
  <si>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</si>
  <si>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</si>
  <si>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</si>
  <si>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</si>
  <si>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</si>
  <si>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</si>
  <si>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</si>
  <si>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</si>
  <si>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</si>
  <si>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</si>
  <si>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</si>
  <si>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</si>
  <si>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</si>
  <si>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</si>
  <si>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</si>
  <si>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</si>
  <si>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</si>
  <si>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</si>
  <si>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</si>
  <si>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</si>
  <si>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</si>
  <si>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</si>
  <si>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</si>
  <si>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</si>
  <si>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</si>
  <si>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</si>
  <si>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</si>
  <si>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</si>
  <si>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</si>
  <si>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</si>
  <si>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</si>
  <si>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</si>
  <si>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</si>
  <si>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</si>
  <si>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</si>
  <si>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</si>
  <si>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</si>
  <si>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</si>
  <si>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</si>
  <si>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</si>
  <si>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</si>
  <si>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</si>
  <si>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</si>
  <si>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</si>
  <si>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</si>
  <si>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</si>
  <si>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</si>
  <si>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</si>
  <si>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</si>
  <si>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</si>
  <si>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</si>
  <si>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</si>
  <si>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</si>
  <si>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</si>
  <si>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</si>
  <si>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</si>
  <si>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</si>
  <si>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</si>
  <si>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</si>
  <si>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</si>
  <si>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</si>
  <si>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</si>
  <si>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</si>
  <si>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</si>
  <si>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</si>
  <si>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</si>
  <si>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</si>
  <si>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</si>
  <si>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</si>
  <si>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</si>
  <si>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</si>
  <si>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</si>
  <si>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</si>
  <si>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</si>
  <si>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</si>
  <si>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</si>
  <si>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</si>
  <si>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</si>
  <si>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</si>
  <si>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</si>
  <si>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</si>
  <si>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</si>
  <si>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</si>
  <si>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</si>
  <si>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</si>
  <si>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</si>
  <si>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</si>
  <si>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</si>
  <si>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</si>
  <si>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</si>
  <si>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</si>
  <si>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</si>
  <si>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</si>
  <si>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</si>
  <si>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</si>
  <si>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</si>
  <si>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</si>
  <si>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</si>
  <si>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</si>
  <si>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</si>
  <si>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</si>
  <si>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</si>
  <si>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</si>
  <si>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</si>
  <si>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</si>
  <si>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</si>
  <si>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</si>
  <si>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</si>
  <si>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</si>
  <si>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</si>
  <si>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</si>
  <si>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</si>
  <si>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</si>
  <si>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</si>
  <si>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</si>
  <si>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</si>
  <si>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</si>
  <si>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</si>
  <si>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</si>
  <si>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</si>
  <si>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</si>
  <si>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</si>
  <si>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</si>
  <si>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</si>
  <si>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</si>
  <si>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</si>
  <si>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</si>
  <si>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</si>
  <si>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</si>
  <si>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</si>
  <si>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</si>
  <si>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</si>
  <si>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</si>
  <si>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</si>
  <si>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</si>
  <si>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</si>
  <si>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</si>
  <si>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</si>
  <si>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</si>
  <si>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</si>
  <si>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</si>
  <si>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</si>
  <si>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</si>
  <si>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</si>
  <si>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</si>
  <si>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</si>
  <si>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</si>
  <si>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</si>
  <si>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</si>
  <si>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</si>
  <si>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</si>
  <si>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</si>
  <si>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</si>
  <si>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</si>
  <si>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</si>
  <si>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</si>
  <si>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</si>
  <si>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</si>
  <si>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</si>
  <si>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</si>
  <si>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</si>
  <si>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</si>
  <si>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</si>
  <si>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</si>
  <si>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</si>
  <si>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</si>
  <si>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</si>
  <si>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</si>
  <si>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</si>
  <si>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</si>
  <si>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</si>
  <si>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</si>
  <si>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</si>
  <si>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</si>
  <si>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</si>
  <si>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</si>
  <si>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</si>
  <si>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</si>
  <si>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</si>
  <si>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</si>
  <si>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</si>
  <si>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</si>
  <si>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</si>
  <si>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</si>
  <si>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</si>
  <si>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</si>
  <si>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</si>
  <si>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</si>
  <si>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</si>
  <si>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</si>
  <si>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</si>
  <si>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</si>
  <si>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</si>
  <si>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</si>
  <si>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</si>
  <si>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</si>
  <si>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</si>
  <si>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</si>
  <si>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</si>
  <si>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</si>
  <si>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</si>
  <si>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</si>
  <si>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</si>
  <si>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</si>
  <si>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</si>
  <si>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</si>
  <si>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</si>
  <si>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</si>
  <si>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</si>
  <si>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</si>
  <si>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</si>
  <si>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</si>
  <si>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</si>
  <si>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</si>
  <si>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</si>
  <si>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</si>
  <si>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</si>
  <si>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</si>
  <si>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</si>
  <si>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</si>
  <si>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</si>
  <si>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</si>
  <si>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</si>
  <si>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</si>
  <si>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</si>
  <si>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</si>
  <si>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</si>
  <si>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</si>
  <si>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</si>
  <si>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</si>
  <si>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</si>
  <si>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</si>
  <si>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</si>
  <si>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</si>
  <si>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</si>
  <si>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</si>
  <si>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</si>
  <si>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</si>
  <si>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</si>
  <si>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</si>
  <si>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</si>
  <si>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</si>
  <si>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</si>
  <si>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</si>
  <si>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</si>
  <si>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</si>
  <si>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</si>
  <si>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</si>
  <si>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</si>
  <si>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</si>
  <si>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</si>
  <si>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</si>
  <si>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</si>
  <si>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</si>
  <si>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</si>
  <si>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</si>
  <si>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</si>
  <si>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</si>
  <si>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</si>
  <si>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</si>
  <si>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</si>
  <si>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</si>
  <si>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</si>
  <si>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</si>
  <si>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</si>
  <si>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</si>
  <si>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</si>
  <si>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</si>
  <si>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</si>
  <si>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</si>
  <si>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</si>
  <si>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</si>
  <si>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</si>
  <si>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</si>
  <si>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</si>
  <si>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</si>
  <si>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</si>
  <si>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</si>
  <si>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</si>
  <si>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</si>
  <si>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</si>
  <si>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</si>
  <si>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</si>
  <si>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</si>
  <si>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</si>
  <si>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</si>
  <si>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</si>
  <si>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</si>
  <si>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</si>
  <si>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</si>
  <si>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</si>
  <si>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</si>
  <si>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</si>
  <si>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</si>
  <si>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</si>
  <si>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</si>
  <si>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</si>
  <si>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</si>
  <si>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</si>
  <si>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</si>
  <si>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</si>
  <si>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</si>
  <si>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</si>
  <si>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</si>
  <si>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</si>
  <si>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</si>
  <si>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</si>
  <si>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</si>
  <si>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</si>
  <si>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</si>
  <si>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</si>
  <si>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</si>
  <si>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</si>
  <si>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</si>
  <si>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</si>
  <si>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</si>
  <si>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</si>
  <si>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</si>
  <si>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</si>
  <si>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</si>
  <si>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</si>
  <si>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</si>
  <si>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</si>
  <si>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</si>
  <si>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</si>
  <si>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</si>
  <si>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</si>
  <si>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</si>
  <si>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</si>
  <si>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</si>
  <si>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</si>
  <si>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</si>
  <si>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</si>
  <si>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</si>
  <si>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</si>
  <si>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</si>
  <si>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</si>
  <si>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</si>
  <si>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</si>
  <si>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</si>
  <si>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</si>
  <si>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</si>
  <si>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</si>
  <si>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</si>
  <si>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</si>
  <si>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</si>
  <si>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</si>
  <si>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</si>
  <si>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</si>
  <si>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</si>
  <si>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</si>
  <si>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</si>
  <si>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</si>
  <si>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</si>
  <si>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</si>
  <si>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</si>
  <si>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</si>
  <si>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</si>
  <si>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</si>
  <si>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</si>
  <si>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</si>
  <si>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</si>
  <si>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</si>
  <si>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</si>
  <si>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</si>
  <si>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</si>
  <si>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</si>
  <si>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</si>
  <si>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</si>
  <si>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</si>
  <si>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</si>
  <si>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</si>
  <si>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</si>
  <si>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</si>
  <si>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</si>
  <si>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</si>
  <si>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</si>
  <si>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</si>
  <si>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</si>
  <si>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</si>
  <si>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</si>
  <si>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</si>
  <si>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</si>
  <si>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</si>
  <si>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</si>
  <si>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</si>
  <si>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</si>
  <si>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</si>
  <si>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</si>
  <si>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</si>
  <si>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</si>
  <si>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</si>
  <si>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</si>
  <si>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</si>
  <si>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</si>
  <si>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</si>
  <si>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</si>
  <si>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</si>
  <si>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</si>
  <si>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</si>
  <si>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</si>
  <si>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</si>
  <si>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</si>
  <si>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</si>
  <si>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</si>
  <si>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</si>
  <si>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</si>
  <si>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</si>
  <si>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</si>
  <si>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</si>
  <si>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</si>
  <si>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</si>
  <si>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</si>
  <si>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</si>
  <si>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</si>
  <si>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</si>
  <si>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</si>
  <si>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</si>
  <si>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</si>
  <si>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</si>
  <si>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</si>
  <si>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</si>
  <si>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</si>
  <si>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</si>
  <si>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</si>
  <si>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</si>
  <si>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</si>
  <si>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</si>
  <si>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</si>
  <si>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</si>
  <si>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</si>
  <si>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</si>
  <si>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</si>
  <si>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</si>
  <si>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</si>
  <si>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</si>
  <si>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</si>
  <si>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</si>
  <si>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</si>
  <si>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</si>
  <si>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</si>
  <si>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</si>
  <si>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</si>
  <si>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</si>
  <si>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</si>
  <si>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</si>
  <si>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</si>
  <si>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</si>
  <si>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</si>
  <si>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</si>
  <si>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</si>
  <si>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</si>
  <si>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</si>
  <si>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</si>
  <si>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</si>
  <si>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</si>
  <si>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</si>
  <si>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</si>
  <si>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</si>
  <si>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</si>
  <si>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</si>
  <si>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</si>
  <si>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</si>
  <si>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</si>
  <si>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</si>
  <si>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</si>
  <si>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</si>
  <si>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</si>
  <si>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</si>
  <si>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</si>
  <si>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</si>
  <si>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</si>
  <si>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</si>
  <si>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</si>
  <si>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</si>
  <si>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</si>
  <si>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</si>
  <si>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</si>
  <si>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</si>
  <si>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</si>
  <si>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</si>
  <si>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</si>
  <si>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</si>
  <si>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</si>
  <si>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</si>
  <si>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</si>
  <si>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</si>
  <si>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</si>
  <si>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</si>
  <si>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</si>
  <si>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</si>
  <si>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</si>
  <si>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</si>
  <si>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</si>
  <si>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</si>
  <si>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</si>
  <si>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</si>
  <si>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</si>
  <si>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</si>
  <si>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</si>
  <si>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</si>
  <si>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</si>
  <si>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</si>
  <si>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</si>
  <si>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</si>
  <si>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</si>
  <si>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</si>
  <si>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</si>
  <si>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</si>
  <si>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</si>
  <si>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</si>
  <si>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</si>
  <si>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</si>
  <si>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</si>
  <si>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</si>
  <si>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</si>
  <si>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</si>
  <si>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</si>
  <si>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</si>
  <si>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</si>
  <si>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</si>
  <si>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</si>
  <si>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</si>
  <si>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</si>
  <si>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</si>
  <si>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</si>
  <si>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</si>
  <si>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</si>
  <si>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</si>
  <si>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</si>
  <si>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</si>
  <si>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</si>
  <si>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</si>
  <si>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</si>
  <si>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</si>
  <si>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</si>
  <si>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</si>
  <si>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</si>
  <si>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</si>
  <si>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</si>
  <si>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</si>
  <si>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</si>
  <si>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</si>
  <si>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</si>
  <si>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</si>
  <si>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</si>
  <si>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</si>
  <si>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</si>
  <si>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</si>
  <si>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</si>
  <si>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</si>
  <si>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</si>
  <si>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</si>
  <si>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</si>
  <si>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</si>
  <si>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</si>
  <si>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</si>
  <si>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</si>
  <si>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</si>
  <si>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</si>
  <si>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</si>
  <si>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</si>
  <si>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</si>
  <si>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</si>
  <si>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</si>
  <si>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</si>
  <si>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</si>
  <si>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</si>
  <si>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</si>
  <si>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</si>
  <si>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</si>
  <si>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</si>
  <si>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</si>
  <si>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</si>
  <si>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</si>
  <si>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</si>
  <si>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</si>
  <si>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</si>
  <si>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</si>
  <si>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</si>
  <si>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</si>
  <si>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</si>
  <si>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</si>
  <si>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</si>
  <si>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</si>
  <si>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</si>
  <si>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</si>
  <si>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</si>
  <si>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</si>
  <si>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</si>
  <si>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</si>
  <si>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</si>
  <si>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</si>
  <si>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</si>
  <si>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</si>
  <si>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</si>
  <si>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</si>
  <si>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</si>
  <si>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</si>
  <si>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</si>
  <si>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</si>
  <si>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</si>
  <si>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</si>
  <si>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</si>
  <si>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</si>
  <si>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</si>
  <si>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</si>
  <si>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</si>
  <si>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</si>
  <si>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</si>
  <si>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</si>
  <si>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</si>
  <si>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</si>
  <si>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</si>
  <si>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</si>
  <si>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</si>
  <si>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</si>
  <si>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</si>
  <si>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</si>
  <si>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</si>
  <si>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</si>
  <si>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</si>
  <si>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</si>
  <si>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</si>
  <si>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</si>
  <si>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</si>
  <si>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</si>
  <si>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</si>
  <si>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</si>
  <si>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</si>
  <si>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</si>
  <si>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</si>
  <si>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</si>
  <si>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</si>
  <si>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</si>
  <si>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</si>
  <si>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</si>
  <si>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</si>
  <si>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</si>
  <si>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</si>
  <si>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</si>
  <si>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</si>
  <si>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</si>
  <si>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</si>
  <si>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</si>
  <si>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</si>
  <si>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</si>
  <si>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</si>
  <si>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</si>
  <si>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</si>
  <si>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</si>
  <si>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</si>
  <si>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</si>
  <si>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</si>
  <si>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</si>
  <si>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</si>
  <si>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</si>
  <si>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</si>
  <si>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</si>
  <si>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</si>
  <si>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</si>
  <si>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</si>
  <si>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</si>
  <si>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</si>
  <si>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</si>
  <si>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</si>
  <si>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</si>
  <si>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</si>
  <si>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</si>
  <si>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</si>
  <si>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</si>
  <si>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</si>
  <si>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</si>
  <si>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</si>
  <si>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</si>
  <si>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</si>
  <si>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</si>
  <si>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</si>
  <si>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</si>
  <si>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</si>
  <si>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</si>
  <si>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</si>
  <si>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</si>
  <si>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</si>
  <si>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</si>
  <si>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</si>
  <si>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</si>
  <si>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</si>
  <si>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</si>
  <si>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</si>
  <si>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</si>
  <si>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</si>
  <si>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</si>
  <si>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</si>
  <si>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</si>
  <si>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</si>
  <si>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</si>
  <si>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</si>
  <si>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</si>
  <si>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</si>
  <si>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</si>
  <si>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</si>
  <si>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</si>
  <si>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</si>
  <si>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</si>
  <si>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</si>
  <si>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</si>
  <si>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</si>
  <si>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</si>
  <si>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</si>
  <si>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</si>
  <si>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</si>
  <si>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</si>
  <si>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</si>
  <si>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</si>
  <si>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</si>
  <si>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</si>
  <si>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</si>
  <si>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</si>
  <si>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</si>
  <si>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</si>
  <si>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</si>
  <si>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</si>
  <si>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</si>
  <si>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</si>
  <si>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</si>
  <si>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</si>
  <si>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</si>
  <si>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</si>
  <si>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</si>
  <si>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</si>
  <si>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</si>
  <si>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</si>
  <si>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</si>
  <si>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</si>
  <si>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</si>
  <si>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</si>
  <si>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</si>
  <si>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</si>
  <si>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</si>
  <si>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</si>
  <si>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</si>
  <si>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</si>
  <si>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</si>
  <si>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</si>
  <si>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</si>
  <si>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</si>
  <si>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</si>
  <si>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</si>
  <si>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</si>
  <si>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</si>
  <si>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</si>
  <si>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</si>
  <si>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</si>
  <si>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</si>
  <si>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</si>
  <si>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</si>
  <si>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</si>
  <si>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</si>
  <si>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</si>
  <si>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</si>
  <si>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</si>
  <si>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</si>
  <si>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</si>
  <si>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</si>
  <si>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</si>
  <si>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</si>
  <si>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</si>
  <si>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</si>
  <si>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</si>
  <si>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</si>
  <si>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</si>
  <si>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</si>
  <si>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</si>
  <si>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</si>
  <si>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</si>
  <si>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</si>
  <si>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</si>
  <si>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</si>
  <si>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</si>
  <si>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</si>
  <si>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</si>
  <si>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</si>
  <si>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</si>
  <si>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</si>
  <si>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</si>
  <si>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</si>
  <si>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</si>
  <si>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</si>
  <si>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</si>
  <si>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</si>
  <si>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</si>
  <si>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</si>
  <si>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</si>
  <si>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</si>
  <si>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</si>
  <si>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</si>
  <si>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</si>
  <si>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</si>
  <si>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</si>
  <si>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</si>
  <si>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</si>
  <si>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</si>
  <si>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</si>
  <si>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</si>
  <si>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</si>
  <si>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</si>
  <si>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</si>
  <si>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</si>
  <si>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</si>
  <si>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</si>
  <si>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</si>
  <si>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</si>
  <si>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</si>
  <si>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</si>
  <si>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</si>
  <si>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</si>
  <si>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</si>
  <si>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</si>
  <si>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</si>
  <si>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</si>
  <si>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</si>
  <si>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</si>
  <si>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</si>
  <si>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</si>
  <si>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</si>
  <si>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</si>
  <si>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</si>
  <si>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</si>
  <si>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</si>
  <si>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</si>
  <si>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</si>
  <si>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</si>
  <si>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</si>
  <si>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</si>
  <si>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</si>
  <si>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</si>
  <si>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</si>
  <si>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</si>
  <si>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</si>
  <si>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</si>
  <si>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</si>
  <si>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</si>
  <si>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</si>
  <si>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</si>
  <si>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</si>
  <si>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</si>
  <si>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</si>
  <si>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</si>
  <si>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</si>
  <si>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</si>
  <si>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</si>
  <si>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</si>
  <si>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</si>
  <si>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</si>
  <si>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</si>
  <si>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</si>
  <si>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</si>
  <si>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</si>
  <si>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</si>
  <si>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</si>
  <si>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</si>
  <si>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</si>
  <si>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</si>
  <si>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</si>
  <si>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</si>
  <si>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</si>
  <si>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</si>
  <si>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</si>
  <si>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</si>
  <si>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</si>
  <si>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</si>
  <si>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</si>
  <si>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</si>
  <si>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</si>
  <si>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</si>
  <si>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</si>
  <si>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</si>
  <si>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</si>
  <si>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</si>
  <si>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</si>
  <si>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</si>
  <si>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</si>
  <si>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</si>
  <si>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</si>
  <si>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</si>
  <si>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</si>
  <si>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</si>
  <si>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</si>
  <si>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</si>
  <si>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</si>
  <si>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</si>
  <si>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</si>
  <si>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</si>
  <si>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</si>
  <si>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</si>
  <si>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</si>
  <si>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</si>
  <si>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</si>
  <si>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</si>
  <si>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</si>
  <si>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</si>
  <si>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</si>
  <si>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</si>
  <si>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</si>
  <si>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</si>
  <si>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</si>
  <si>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</si>
  <si>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</si>
  <si>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</si>
  <si>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</si>
  <si>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</si>
  <si>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</si>
  <si>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</si>
  <si>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</si>
  <si>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</si>
  <si>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</si>
  <si>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</si>
  <si>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</si>
  <si>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</si>
  <si>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</si>
  <si>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</si>
  <si>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</si>
  <si>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</si>
  <si>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</si>
  <si>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</si>
  <si>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</si>
  <si>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</si>
  <si>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</si>
  <si>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</si>
  <si>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</si>
  <si>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</si>
  <si>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</si>
  <si>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</si>
  <si>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</si>
  <si>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</si>
  <si>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</si>
  <si>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</si>
  <si>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</si>
  <si>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</si>
  <si>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</si>
  <si>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</si>
  <si>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</si>
  <si>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</si>
  <si>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</si>
  <si>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</si>
  <si>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</si>
  <si>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</si>
  <si>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</si>
  <si>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</si>
  <si>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</si>
  <si>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</si>
  <si>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</si>
  <si>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</si>
  <si>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</si>
  <si>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</si>
  <si>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</si>
  <si>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</si>
  <si>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</si>
  <si>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</si>
  <si>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</si>
  <si>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</si>
  <si>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</si>
  <si>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</si>
  <si>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</si>
  <si>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</si>
  <si>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</si>
  <si>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</si>
  <si>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</si>
  <si>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</si>
  <si>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</si>
  <si>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</si>
  <si>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</si>
  <si>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</si>
  <si>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</si>
  <si>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</si>
  <si>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</si>
  <si>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</si>
  <si>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</si>
  <si>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</si>
  <si>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</si>
  <si>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</si>
  <si>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</si>
  <si>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</si>
  <si>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</si>
  <si>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</si>
  <si>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</si>
  <si>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</si>
  <si>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</si>
  <si>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</si>
  <si>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</si>
  <si>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</si>
  <si>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</si>
  <si>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</si>
  <si>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</si>
  <si>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</si>
  <si>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</si>
  <si>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</si>
  <si>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</si>
  <si>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</si>
  <si>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</si>
  <si>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</si>
  <si>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</si>
  <si>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</si>
  <si>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</si>
  <si>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</si>
  <si>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</si>
  <si>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</si>
  <si>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</si>
  <si>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</si>
  <si>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</si>
  <si>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</si>
  <si>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</si>
  <si>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</si>
  <si>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</si>
  <si>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</si>
  <si>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</si>
  <si>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</si>
  <si>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</si>
  <si>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</si>
  <si>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</si>
  <si>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</si>
  <si>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</si>
  <si>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</si>
  <si>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</si>
  <si>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</si>
  <si>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</si>
  <si>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</si>
  <si>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</si>
  <si>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</si>
  <si>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</si>
  <si>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</si>
  <si>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</si>
  <si>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</si>
  <si>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</si>
  <si>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</si>
  <si>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</si>
  <si>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</si>
  <si>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</si>
  <si>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</si>
  <si>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</si>
  <si>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</si>
  <si>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</si>
  <si>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</si>
  <si>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</si>
  <si>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</si>
  <si>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</si>
  <si>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</si>
  <si>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</si>
  <si>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</si>
  <si>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</si>
  <si>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</si>
  <si>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</si>
  <si>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</si>
  <si>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</si>
  <si>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</si>
  <si>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</si>
  <si>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</si>
  <si>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</si>
  <si>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</si>
  <si>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</si>
  <si>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</si>
  <si>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</si>
  <si>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</si>
  <si>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</si>
  <si>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</si>
  <si>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</si>
  <si>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</si>
  <si>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</si>
  <si>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</si>
  <si>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</si>
  <si>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</si>
  <si>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</si>
  <si>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</si>
  <si>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</si>
  <si>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</si>
  <si>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</si>
  <si>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</si>
  <si>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</si>
  <si>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</si>
  <si>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</si>
  <si>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</si>
  <si>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</si>
  <si>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</si>
  <si>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</si>
  <si>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</si>
  <si>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</si>
  <si>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</si>
  <si>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</si>
  <si>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</si>
  <si>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</si>
  <si>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</si>
  <si>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</si>
  <si>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</si>
  <si>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</si>
  <si>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</si>
  <si>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</si>
  <si>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</si>
  <si>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</si>
  <si>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</si>
  <si>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</si>
  <si>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</si>
  <si>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</si>
  <si>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</si>
  <si>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</si>
  <si>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</si>
  <si>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</si>
  <si>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</si>
  <si>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</si>
  <si>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</si>
  <si>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</si>
  <si>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</si>
  <si>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</si>
  <si>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</si>
  <si>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</si>
  <si>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</si>
  <si>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</si>
  <si>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</si>
  <si>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</si>
  <si>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</si>
  <si>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</si>
  <si>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</si>
  <si>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</si>
  <si>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</si>
  <si>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</si>
  <si>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</si>
  <si>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</si>
  <si>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</si>
  <si>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</si>
  <si>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</si>
  <si>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</si>
  <si>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</si>
  <si>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</si>
  <si>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</si>
  <si>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</si>
  <si>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</si>
  <si>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</si>
  <si>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</si>
  <si>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</si>
  <si>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</si>
  <si>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</si>
  <si>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</si>
  <si>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</si>
  <si>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</si>
  <si>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</si>
  <si>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</si>
  <si>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</si>
  <si>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</si>
  <si>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</si>
  <si>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</si>
  <si>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</si>
  <si>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</si>
  <si>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</si>
  <si>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</si>
  <si>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</si>
  <si>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</si>
  <si>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</si>
  <si>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</si>
  <si>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</si>
  <si>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</si>
  <si>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</si>
  <si>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</si>
  <si>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</si>
  <si>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</si>
  <si>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</si>
  <si>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</si>
  <si>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</si>
  <si>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</si>
  <si>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</si>
  <si>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</si>
  <si>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</si>
  <si>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</si>
  <si>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</si>
  <si>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</si>
  <si>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</si>
  <si>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</si>
  <si>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</si>
  <si>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</si>
  <si>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</si>
  <si>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</si>
  <si>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</si>
  <si>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</si>
  <si>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</si>
  <si>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</si>
  <si>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</si>
  <si>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</si>
  <si>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</si>
  <si>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</si>
  <si>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</si>
  <si>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</si>
  <si>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</si>
  <si>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</si>
  <si>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</si>
  <si>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</si>
  <si>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</si>
  <si>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</si>
  <si>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</si>
  <si>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</si>
  <si>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</si>
  <si>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</si>
  <si>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</si>
  <si>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</si>
  <si>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</si>
  <si>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</si>
  <si>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</si>
  <si>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</si>
  <si>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</si>
  <si>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</si>
  <si>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</si>
  <si>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</si>
  <si>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</si>
  <si>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</si>
  <si>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</si>
  <si>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</si>
  <si>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</si>
  <si>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</si>
  <si>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</si>
  <si>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</si>
  <si>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</si>
  <si>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</si>
  <si>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</si>
  <si>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</si>
  <si>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</si>
  <si>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</si>
  <si>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</si>
  <si>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</si>
  <si>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</si>
  <si>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</si>
  <si>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</si>
  <si>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</si>
  <si>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</si>
  <si>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</si>
  <si>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</si>
  <si>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</si>
  <si>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</si>
  <si>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</si>
  <si>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</si>
  <si>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</si>
  <si>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</si>
  <si>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</si>
  <si>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</si>
  <si>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</si>
  <si>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</si>
  <si>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</si>
  <si>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</si>
  <si>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</si>
  <si>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</si>
  <si>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</si>
  <si>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</si>
  <si>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</si>
  <si>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</si>
  <si>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</si>
  <si>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</si>
  <si>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</si>
  <si>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</si>
  <si>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</si>
  <si>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</si>
  <si>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</si>
  <si>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</si>
  <si>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</si>
  <si>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</si>
  <si>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</si>
  <si>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</si>
  <si>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</si>
  <si>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</si>
  <si>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</si>
  <si>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</si>
  <si>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</si>
  <si>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</si>
  <si>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</si>
  <si>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</si>
  <si>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</si>
  <si>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</si>
  <si>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</si>
  <si>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</si>
  <si>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</si>
  <si>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</si>
  <si>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</si>
  <si>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</si>
  <si>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</si>
  <si>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</si>
  <si>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</si>
  <si>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</si>
  <si>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</si>
  <si>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</si>
  <si>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</si>
  <si>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</si>
  <si>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</si>
  <si>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</si>
  <si>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</si>
  <si>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</si>
  <si>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</si>
  <si>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</si>
  <si>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</si>
  <si>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</si>
  <si>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</si>
  <si>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</si>
  <si>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</si>
  <si>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</si>
  <si>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</si>
  <si>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</si>
  <si>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</si>
  <si>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</si>
  <si>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</si>
  <si>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</si>
  <si>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</si>
  <si>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</si>
  <si>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</si>
  <si>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</si>
  <si>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</si>
  <si>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</si>
  <si>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</si>
  <si>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</si>
  <si>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</si>
  <si>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</si>
  <si>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</si>
  <si>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</si>
  <si>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</si>
  <si>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</si>
  <si>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</si>
  <si>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</si>
  <si>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</si>
  <si>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</si>
  <si>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</si>
  <si>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</si>
  <si>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</si>
  <si>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</si>
  <si>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</si>
  <si>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</si>
  <si>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</si>
  <si>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</si>
  <si>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</si>
  <si>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</si>
  <si>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</si>
  <si>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</si>
  <si>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</si>
  <si>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</si>
  <si>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</si>
  <si>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</si>
  <si>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</si>
  <si>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</si>
  <si>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</si>
  <si>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</si>
  <si>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</si>
  <si>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</si>
  <si>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</si>
  <si>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</si>
  <si>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</si>
  <si>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</si>
  <si>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</si>
  <si>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</si>
  <si>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</si>
  <si>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</si>
  <si>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</si>
  <si>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</si>
  <si>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</si>
  <si>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</si>
  <si>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</si>
  <si>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</si>
  <si>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</si>
  <si>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</si>
  <si>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</si>
  <si>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</si>
  <si>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</si>
  <si>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</si>
  <si>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</si>
  <si>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</si>
  <si>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</si>
  <si>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</si>
  <si>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</si>
  <si>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</si>
  <si>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</si>
  <si>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</si>
  <si>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</si>
  <si>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</si>
  <si>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</si>
  <si>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</si>
  <si>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</si>
  <si>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</si>
  <si>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</si>
  <si>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</si>
  <si>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</si>
  <si>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</si>
  <si>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</si>
  <si>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</si>
  <si>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</si>
  <si>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</si>
  <si>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</si>
  <si>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</si>
  <si>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</si>
  <si>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</si>
  <si>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</si>
  <si>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</si>
  <si>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</si>
  <si>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</si>
  <si>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</si>
  <si>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</si>
  <si>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</si>
  <si>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</si>
  <si>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</si>
  <si>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</si>
  <si>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</si>
  <si>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</si>
  <si>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</si>
  <si>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</si>
  <si>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</si>
  <si>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</si>
  <si>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</si>
  <si>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</si>
  <si>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</si>
  <si>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</si>
  <si>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</si>
  <si>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</si>
  <si>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</si>
  <si>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</si>
  <si>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</si>
  <si>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</si>
  <si>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</si>
  <si>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</si>
  <si>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</si>
  <si>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</si>
  <si>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</si>
  <si>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</si>
  <si>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</si>
  <si>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</si>
  <si>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</si>
  <si>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</si>
  <si>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</si>
  <si>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</si>
  <si>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</si>
  <si>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</si>
  <si>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</si>
  <si>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</si>
  <si>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</si>
  <si>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</si>
  <si>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</si>
  <si>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</si>
  <si>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</si>
  <si>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</si>
  <si>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</si>
  <si>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</si>
  <si>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</si>
  <si>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</si>
  <si>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</si>
  <si>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</si>
  <si>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</si>
  <si>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</si>
  <si>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</si>
  <si>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</si>
  <si>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</si>
  <si>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</si>
  <si>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</si>
  <si>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</si>
  <si>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</si>
  <si>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</si>
  <si>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</si>
  <si>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</si>
  <si>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</si>
  <si>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</si>
  <si>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</si>
  <si>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</si>
  <si>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</si>
  <si>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</si>
  <si>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</si>
  <si>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</si>
  <si>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</si>
  <si>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</si>
  <si>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</si>
  <si>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</si>
  <si>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</si>
  <si>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</si>
  <si>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</si>
  <si>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</si>
  <si>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</si>
  <si>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</si>
  <si>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</si>
  <si>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</si>
  <si>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</si>
  <si>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</si>
  <si>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</si>
  <si>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</si>
  <si>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</si>
  <si>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</si>
  <si>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</si>
  <si>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</si>
  <si>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</si>
  <si>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</si>
  <si>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</si>
  <si>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</si>
  <si>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</si>
  <si>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</si>
  <si>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</si>
  <si>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</si>
  <si>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</si>
  <si>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</si>
  <si>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</si>
  <si>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</si>
  <si>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</si>
  <si>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</si>
  <si>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</si>
  <si>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</si>
  <si>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</si>
  <si>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</si>
  <si>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</si>
  <si>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</si>
  <si>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</si>
  <si>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</si>
  <si>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</si>
  <si>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</si>
  <si>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</si>
  <si>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</si>
  <si>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</si>
  <si>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</si>
  <si>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</si>
  <si>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</si>
  <si>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</si>
  <si>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</si>
  <si>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</si>
  <si>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</si>
  <si>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</si>
  <si>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</si>
  <si>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</si>
  <si>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</si>
  <si>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</si>
  <si>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</si>
  <si>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</si>
  <si>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</si>
  <si>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</si>
  <si>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</si>
  <si>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</si>
  <si>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</si>
  <si>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</si>
  <si>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</si>
  <si>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</si>
  <si>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</si>
  <si>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</si>
  <si>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</si>
  <si>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</si>
  <si>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</si>
  <si>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</si>
  <si>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</si>
  <si>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</si>
  <si>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</si>
  <si>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</si>
  <si>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</si>
  <si>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</si>
  <si>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</si>
  <si>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</si>
  <si>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</si>
  <si>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</si>
  <si>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</si>
  <si>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</si>
  <si>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</si>
  <si>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</si>
  <si>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</si>
  <si>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</si>
  <si>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</si>
  <si>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</si>
  <si>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</si>
  <si>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</si>
  <si>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</si>
  <si>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</si>
  <si>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</si>
  <si>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</si>
  <si>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</si>
  <si>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</si>
  <si>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</si>
  <si>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</si>
  <si>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</si>
  <si>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</si>
  <si>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</si>
  <si>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</si>
  <si>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</si>
  <si>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</si>
  <si>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</si>
  <si>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</si>
  <si>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</si>
  <si>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</si>
  <si>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</si>
  <si>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</si>
  <si>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</si>
  <si>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</si>
  <si>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</si>
  <si>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</si>
  <si>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</si>
  <si>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</si>
  <si>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</si>
  <si>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</si>
  <si>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</si>
  <si>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</si>
  <si>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</si>
  <si>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</si>
  <si>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</si>
  <si>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</si>
  <si>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</si>
  <si>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</si>
  <si>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</si>
  <si>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</si>
  <si>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</si>
  <si>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</si>
  <si>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</si>
  <si>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</si>
  <si>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</si>
  <si>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</si>
  <si>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</si>
  <si>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</si>
  <si>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</si>
  <si>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</si>
  <si>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</si>
  <si>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</si>
  <si>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</si>
  <si>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</si>
  <si>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</si>
  <si>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</si>
  <si>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</si>
  <si>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</si>
  <si>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</si>
  <si>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</si>
  <si>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</si>
  <si>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</si>
  <si>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</si>
  <si>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</si>
  <si>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</si>
  <si>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</si>
  <si>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</si>
  <si>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</si>
  <si>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</si>
  <si>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</si>
  <si>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</si>
  <si>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</si>
  <si>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</si>
  <si>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</si>
  <si>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</si>
  <si>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</si>
  <si>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</si>
  <si>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</si>
  <si>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</si>
  <si>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</si>
  <si>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</si>
  <si>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</si>
  <si>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</si>
  <si>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</si>
  <si>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</si>
  <si>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</si>
  <si>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</si>
  <si>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</si>
  <si>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</si>
  <si>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</si>
  <si>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</si>
  <si>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</si>
  <si>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</si>
  <si>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</si>
  <si>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</si>
  <si>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</si>
  <si>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</si>
  <si>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</si>
  <si>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</si>
  <si>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</si>
  <si>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</si>
  <si>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</si>
  <si>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</si>
  <si>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</si>
  <si>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</si>
  <si>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</si>
  <si>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</si>
  <si>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</si>
  <si>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</si>
  <si>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</si>
  <si>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</si>
  <si>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</si>
  <si>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</si>
  <si>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</si>
  <si>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</si>
  <si>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</si>
  <si>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</si>
  <si>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</si>
  <si>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</si>
  <si>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</si>
  <si>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</si>
  <si>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</si>
  <si>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</si>
  <si>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</si>
  <si>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</si>
  <si>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</si>
  <si>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</si>
  <si>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</si>
  <si>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</si>
  <si>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</si>
  <si>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</si>
  <si>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</si>
  <si>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</si>
  <si>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</si>
  <si>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</si>
  <si>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</si>
  <si>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</si>
  <si>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</si>
  <si>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</si>
  <si>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</si>
  <si>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</si>
  <si>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</si>
  <si>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</si>
  <si>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</si>
  <si>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</si>
  <si>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</si>
  <si>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</si>
  <si>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</si>
  <si>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</si>
  <si>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</si>
  <si>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</si>
  <si>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</si>
  <si>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</si>
  <si>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</si>
  <si>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</si>
  <si>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</si>
  <si>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</si>
  <si>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</si>
  <si>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</si>
  <si>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</si>
  <si>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</si>
  <si>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</si>
  <si>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</si>
  <si>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</si>
  <si>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</si>
  <si>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</si>
  <si>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</si>
  <si>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</si>
  <si>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</si>
  <si>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</si>
  <si>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</si>
  <si>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</si>
  <si>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</si>
  <si>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</si>
  <si>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</si>
  <si>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</si>
  <si>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</si>
  <si>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</si>
  <si>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</si>
  <si>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</si>
  <si>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</si>
  <si>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</si>
  <si>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</si>
  <si>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</si>
  <si>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</si>
  <si>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</si>
  <si>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</si>
  <si>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</si>
  <si>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</si>
  <si>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</si>
  <si>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</si>
  <si>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</si>
  <si>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</si>
  <si>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</si>
  <si>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</si>
  <si>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</si>
  <si>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</si>
  <si>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</si>
  <si>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</si>
  <si>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</si>
  <si>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</si>
  <si>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</si>
  <si>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</si>
  <si>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</si>
  <si>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</si>
  <si>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</si>
  <si>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</si>
  <si>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</si>
  <si>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</si>
  <si>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</si>
  <si>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</si>
  <si>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</si>
  <si>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</si>
  <si>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</si>
  <si>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</si>
  <si>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</si>
  <si>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</si>
  <si>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</si>
  <si>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</si>
  <si>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</si>
  <si>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</si>
  <si>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</si>
  <si>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</si>
  <si>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</si>
  <si>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</si>
  <si>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</si>
  <si>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</si>
  <si>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</si>
  <si>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</si>
  <si>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</si>
  <si>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</si>
  <si>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</si>
  <si>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</si>
  <si>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</si>
  <si>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</si>
  <si>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</si>
  <si>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</si>
  <si>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</si>
  <si>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</si>
  <si>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</si>
  <si>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</si>
  <si>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</si>
  <si>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</si>
  <si>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</si>
  <si>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</si>
  <si>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</si>
  <si>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</si>
  <si>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</si>
  <si>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</si>
  <si>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</si>
  <si>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</si>
  <si>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</si>
  <si>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</si>
  <si>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</si>
  <si>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</si>
  <si>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</si>
  <si>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</si>
  <si>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</si>
  <si>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</si>
  <si>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</si>
  <si>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</si>
  <si>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</si>
  <si>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</si>
  <si>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</si>
  <si>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</si>
  <si>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</si>
  <si>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</si>
  <si>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</si>
  <si>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</si>
  <si>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</si>
  <si>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</si>
  <si>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</si>
  <si>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</si>
  <si>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</si>
  <si>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</si>
  <si>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</si>
  <si>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</si>
  <si>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</si>
  <si>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</si>
  <si>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</si>
  <si>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</si>
  <si>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</si>
  <si>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</si>
  <si>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</si>
  <si>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</si>
  <si>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</si>
  <si>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</si>
  <si>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</si>
  <si>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</si>
  <si>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</si>
  <si>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</si>
  <si>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</si>
  <si>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</si>
  <si>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</si>
  <si>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</si>
  <si>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</si>
  <si>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</si>
  <si>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</si>
  <si>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</si>
  <si>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</si>
  <si>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</si>
  <si>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</si>
  <si>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</si>
  <si>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</si>
  <si>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</si>
  <si>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</si>
  <si>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</si>
  <si>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</si>
  <si>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</si>
  <si>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</si>
  <si>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</si>
  <si>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</si>
  <si>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</si>
  <si>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</si>
  <si>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</si>
  <si>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</si>
  <si>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</si>
  <si>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</si>
  <si>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</si>
  <si>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</si>
  <si>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</si>
  <si>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</si>
  <si>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</si>
  <si>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</si>
  <si>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</si>
  <si>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</si>
  <si>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</si>
  <si>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</si>
  <si>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</si>
  <si>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</si>
  <si>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</si>
  <si>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</si>
  <si>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</si>
  <si>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</si>
  <si>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</si>
  <si>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</si>
  <si>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</si>
  <si>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</si>
  <si>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</si>
  <si>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</si>
  <si>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</si>
  <si>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</si>
  <si>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</si>
  <si>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</si>
  <si>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</si>
  <si>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</si>
  <si>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</si>
  <si>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</si>
  <si>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</si>
  <si>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</si>
  <si>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</si>
  <si>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</si>
  <si>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</si>
  <si>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</si>
  <si>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</si>
  <si>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</si>
  <si>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</si>
  <si>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</si>
  <si>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</si>
  <si>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</si>
  <si>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</si>
  <si>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</si>
  <si>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</si>
  <si>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</si>
  <si>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</si>
  <si>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</si>
  <si>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</si>
  <si>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</si>
  <si>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</si>
  <si>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</si>
  <si>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</si>
  <si>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</si>
  <si>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</si>
  <si>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</si>
  <si>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</si>
  <si>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</si>
  <si>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</si>
  <si>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</si>
  <si>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</si>
  <si>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</si>
  <si>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</si>
  <si>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</si>
  <si>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</si>
  <si>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</si>
  <si>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</si>
  <si>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</si>
  <si>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</si>
  <si>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</si>
  <si>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</si>
  <si>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</si>
  <si>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</si>
  <si>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</si>
  <si>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</si>
  <si>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</si>
  <si>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</si>
  <si>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</si>
  <si>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</si>
  <si>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</si>
  <si>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</si>
  <si>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</si>
  <si>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</si>
  <si>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</si>
  <si>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</si>
  <si>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</si>
  <si>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</si>
  <si>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</si>
  <si>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</si>
  <si>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</si>
  <si>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</si>
  <si>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</si>
  <si>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</si>
  <si>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</si>
  <si>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</si>
  <si>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</si>
  <si>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</si>
  <si>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</si>
  <si>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</si>
  <si>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</si>
  <si>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</si>
  <si>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</si>
  <si>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</si>
  <si>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</si>
  <si>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</si>
  <si>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</si>
  <si>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</si>
  <si>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</si>
  <si>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</si>
  <si>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</si>
  <si>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</si>
  <si>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</si>
  <si>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</si>
  <si>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</si>
  <si>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</si>
  <si>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</si>
  <si>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</si>
  <si>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</si>
  <si>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</si>
  <si>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</si>
  <si>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</si>
  <si>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</si>
  <si>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</si>
  <si>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</si>
  <si>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</si>
  <si>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</si>
  <si>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</si>
  <si>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</si>
  <si>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</si>
  <si>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</si>
  <si>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</si>
  <si>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</si>
  <si>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</si>
  <si>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</si>
  <si>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</si>
  <si>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</si>
  <si>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</si>
  <si>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</si>
  <si>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</si>
  <si>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</si>
  <si>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</si>
  <si>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</si>
  <si>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</si>
  <si>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</si>
  <si>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</si>
  <si>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</si>
  <si>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</si>
  <si>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</si>
  <si>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</si>
  <si>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</si>
  <si>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</si>
  <si>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</si>
  <si>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</si>
  <si>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</si>
  <si>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</si>
  <si>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</si>
  <si>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</si>
  <si>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</si>
  <si>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</si>
  <si>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</si>
  <si>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</si>
  <si>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</si>
  <si>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</si>
  <si>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</si>
  <si>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</si>
  <si>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</si>
  <si>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</si>
  <si>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</si>
  <si>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</si>
  <si>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</si>
  <si>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</si>
  <si>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</si>
  <si>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</si>
  <si>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</si>
  <si>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</si>
  <si>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</si>
  <si>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</si>
  <si>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</si>
  <si>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</si>
  <si>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</si>
  <si>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</si>
  <si>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</si>
  <si>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</si>
  <si>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</si>
  <si>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</si>
  <si>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</si>
  <si>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</si>
  <si>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</si>
  <si>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</si>
  <si>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</si>
  <si>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</si>
  <si>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</si>
  <si>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</si>
  <si>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</si>
  <si>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</si>
  <si>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</si>
  <si>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</si>
  <si>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</si>
  <si>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</si>
  <si>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</si>
  <si>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</si>
  <si>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</si>
  <si>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</si>
  <si>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</si>
  <si>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</si>
  <si>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</si>
  <si>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</si>
  <si>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</si>
  <si>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</si>
  <si>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</si>
  <si>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</si>
  <si>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</si>
  <si>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</si>
  <si>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</si>
  <si>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</si>
  <si>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</si>
  <si>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</si>
  <si>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</si>
  <si>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</si>
  <si>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</si>
  <si>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</si>
  <si>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</si>
  <si>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</si>
  <si>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</si>
  <si>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</si>
  <si>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</si>
  <si>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</si>
  <si>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</si>
  <si>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</si>
  <si>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</si>
  <si>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</si>
  <si>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</si>
  <si>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</si>
  <si>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</si>
  <si>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</si>
  <si>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</si>
  <si>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</si>
  <si>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</si>
  <si>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</si>
  <si>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</si>
  <si>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</si>
  <si>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</si>
  <si>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</si>
  <si>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</si>
  <si>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</si>
  <si>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</si>
  <si>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</si>
  <si>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</si>
  <si>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</si>
  <si>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</si>
  <si>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</si>
  <si>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</si>
  <si>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</si>
  <si>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</si>
  <si>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</si>
  <si>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</si>
  <si>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</si>
  <si>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</si>
  <si>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</si>
  <si>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</si>
  <si>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</si>
  <si>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</si>
  <si>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</si>
  <si>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</si>
  <si>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</si>
  <si>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</si>
  <si>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</si>
  <si>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</si>
  <si>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</si>
  <si>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</si>
  <si>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</si>
  <si>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</si>
  <si>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</si>
  <si>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</si>
  <si>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</si>
  <si>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</si>
  <si>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</si>
  <si>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</si>
  <si>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</si>
  <si>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</si>
  <si>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</si>
  <si>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</si>
  <si>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</si>
  <si>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</si>
  <si>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</si>
  <si>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</si>
  <si>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</si>
  <si>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</si>
  <si>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</si>
  <si>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</si>
  <si>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</si>
  <si>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</si>
  <si>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</si>
  <si>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</si>
  <si>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</si>
  <si>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</si>
  <si>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</si>
  <si>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</si>
  <si>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</si>
  <si>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</si>
  <si>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</si>
  <si>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</si>
  <si>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</si>
  <si>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</si>
  <si>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</si>
  <si>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</si>
  <si>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</si>
  <si>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</si>
  <si>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</si>
  <si>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</si>
  <si>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</si>
  <si>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</si>
  <si>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</si>
  <si>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</si>
  <si>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</si>
  <si>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</si>
  <si>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</si>
  <si>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</si>
  <si>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</si>
  <si>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</si>
  <si>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</si>
  <si>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</si>
  <si>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</si>
  <si>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</si>
  <si>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</si>
  <si>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</si>
  <si>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</si>
  <si>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</si>
  <si>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</si>
  <si>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</si>
  <si>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</si>
  <si>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</si>
  <si>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</si>
  <si>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</si>
  <si>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</si>
  <si>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</si>
  <si>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</si>
  <si>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</si>
  <si>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</si>
  <si>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</si>
  <si>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</si>
  <si>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</si>
  <si>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</si>
  <si>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</si>
  <si>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</si>
  <si>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</si>
  <si>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</si>
  <si>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</si>
  <si>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</si>
  <si>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</si>
  <si>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</si>
  <si>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</si>
  <si>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</si>
  <si>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</si>
  <si>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</si>
  <si>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</si>
  <si>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</si>
  <si>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</si>
  <si>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</si>
  <si>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</si>
  <si>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</si>
  <si>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</si>
  <si>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</si>
  <si>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</si>
  <si>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</si>
  <si>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</si>
  <si>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</si>
  <si>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</si>
  <si>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</si>
  <si>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</si>
  <si>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</si>
  <si>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</si>
  <si>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</si>
  <si>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</si>
  <si>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</si>
  <si>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</si>
  <si>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</si>
  <si>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</si>
  <si>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</si>
  <si>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</si>
  <si>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</si>
  <si>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</si>
  <si>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</si>
  <si>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</si>
  <si>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</si>
  <si>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</si>
  <si>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</si>
  <si>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</si>
  <si>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</si>
  <si>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</si>
  <si>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</si>
  <si>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</si>
  <si>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</si>
  <si>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</si>
  <si>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</si>
  <si>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</si>
  <si>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</si>
  <si>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</si>
  <si>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</si>
  <si>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</si>
  <si>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</si>
  <si>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</si>
  <si>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</si>
  <si>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</si>
  <si>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</si>
  <si>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</si>
  <si>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</si>
  <si>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</si>
  <si>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</si>
  <si>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</si>
  <si>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</si>
  <si>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</si>
  <si>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</si>
  <si>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</si>
  <si>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</si>
  <si>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</si>
  <si>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</si>
  <si>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</si>
  <si>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</si>
  <si>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</si>
  <si>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</si>
  <si>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</si>
  <si>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</si>
  <si>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</si>
  <si>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</si>
  <si>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</si>
  <si>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</si>
  <si>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</si>
  <si>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</si>
  <si>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</si>
  <si>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</si>
  <si>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</si>
  <si>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</si>
  <si>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</si>
  <si>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</si>
  <si>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</si>
  <si>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</si>
  <si>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</si>
  <si>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</si>
  <si>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</si>
  <si>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</si>
  <si>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</si>
  <si>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</si>
  <si>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</si>
  <si>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</si>
  <si>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</si>
  <si>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</si>
  <si>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</si>
  <si>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</si>
  <si>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</si>
  <si>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</si>
  <si>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</si>
  <si>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</si>
  <si>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</si>
  <si>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</si>
  <si>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</si>
  <si>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</si>
  <si>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</si>
  <si>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</si>
  <si>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</si>
  <si>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</si>
  <si>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</si>
  <si>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</si>
  <si>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</si>
  <si>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</si>
  <si>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</si>
  <si>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</si>
  <si>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</si>
  <si>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</si>
  <si>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</si>
  <si>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</si>
  <si>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</si>
  <si>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</si>
  <si>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</si>
  <si>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</si>
  <si>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</si>
  <si>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</si>
  <si>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</si>
  <si>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</si>
  <si>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</si>
  <si>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</si>
  <si>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</si>
  <si>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</si>
  <si>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</si>
  <si>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</si>
  <si>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</si>
  <si>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</si>
  <si>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</si>
  <si>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</si>
  <si>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</si>
  <si>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</si>
  <si>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</si>
  <si>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</si>
  <si>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</si>
  <si>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</si>
  <si>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</si>
  <si>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</si>
  <si>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</si>
  <si>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</si>
  <si>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</si>
  <si>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</si>
  <si>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</si>
  <si>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</si>
  <si>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</si>
  <si>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</si>
  <si>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</si>
  <si>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</si>
  <si>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</si>
  <si>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</si>
  <si>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</si>
  <si>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</si>
  <si>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</si>
  <si>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</si>
  <si>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</si>
  <si>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</si>
  <si>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</si>
  <si>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</si>
  <si>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</si>
  <si>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</si>
  <si>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</si>
  <si>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</si>
  <si>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</si>
  <si>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</si>
  <si>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</si>
  <si>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</si>
  <si>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</si>
  <si>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</si>
  <si>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</si>
  <si>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</si>
  <si>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</si>
  <si>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</si>
  <si>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</si>
  <si>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</si>
  <si>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</si>
  <si>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</si>
  <si>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</si>
  <si>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</si>
  <si>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</si>
  <si>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</si>
  <si>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</si>
  <si>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</si>
  <si>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</si>
  <si>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</si>
  <si>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</si>
  <si>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</si>
  <si>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</si>
  <si>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</si>
  <si>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</si>
  <si>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</si>
  <si>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</si>
  <si>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</si>
  <si>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</si>
  <si>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</si>
  <si>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</si>
  <si>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</si>
  <si>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</si>
  <si>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</si>
  <si>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</si>
  <si>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</si>
  <si>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</si>
  <si>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</si>
  <si>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</si>
  <si>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</si>
  <si>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</si>
  <si>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</si>
  <si>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</si>
  <si>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</si>
  <si>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</si>
  <si>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</si>
  <si>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</si>
  <si>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</si>
  <si>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</si>
  <si>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</si>
  <si>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</si>
  <si>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</si>
  <si>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</si>
  <si>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</si>
  <si>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</si>
  <si>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</si>
  <si>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</si>
  <si>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</si>
  <si>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</si>
  <si>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</si>
  <si>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</si>
  <si>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</si>
  <si>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</si>
  <si>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</si>
  <si>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</si>
  <si>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</si>
  <si>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</si>
  <si>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</si>
  <si>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</si>
  <si>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</si>
  <si>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</si>
  <si>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</si>
  <si>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</si>
  <si>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</si>
  <si>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</si>
  <si>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</si>
  <si>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</si>
  <si>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</si>
  <si>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</si>
  <si>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</si>
  <si>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</si>
  <si>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</si>
  <si>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</si>
  <si>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</si>
  <si>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</si>
  <si>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</si>
  <si>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</si>
  <si>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</si>
  <si>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</si>
  <si>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</si>
  <si>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</si>
  <si>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</si>
  <si>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</si>
  <si>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</si>
  <si>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</si>
  <si>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</si>
  <si>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</si>
  <si>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</si>
  <si>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</si>
  <si>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</si>
  <si>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</si>
  <si>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</si>
  <si>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</si>
  <si>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</si>
  <si>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</si>
  <si>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</si>
  <si>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</si>
  <si>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</si>
  <si>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</si>
  <si>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</si>
  <si>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</si>
  <si>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</si>
  <si>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</si>
  <si>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</si>
  <si>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</si>
  <si>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</si>
  <si>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</si>
  <si>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</si>
  <si>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</si>
  <si>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</si>
  <si>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</si>
  <si>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</si>
  <si>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</si>
  <si>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</si>
  <si>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</si>
  <si>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</si>
  <si>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</si>
  <si>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</si>
  <si>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</si>
  <si>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</si>
  <si>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</si>
  <si>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</si>
  <si>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</si>
  <si>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</si>
  <si>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</si>
  <si>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</si>
  <si>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</si>
  <si>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</si>
  <si>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</si>
  <si>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</si>
  <si>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</si>
  <si>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</si>
  <si>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</si>
  <si>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</si>
  <si>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</si>
  <si>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</si>
  <si>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</si>
  <si>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</si>
  <si>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</si>
  <si>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</si>
  <si>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</si>
  <si>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</si>
  <si>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</si>
  <si>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</si>
  <si>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</si>
  <si>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</si>
  <si>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</si>
  <si>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</si>
  <si>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</si>
  <si>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</si>
  <si>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</si>
  <si>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</si>
  <si>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</si>
  <si>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</si>
  <si>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</si>
  <si>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</si>
  <si>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</si>
  <si>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</si>
  <si>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</si>
  <si>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</si>
  <si>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</si>
  <si>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</si>
  <si>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</si>
  <si>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</si>
  <si>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</si>
  <si>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</si>
  <si>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</si>
  <si>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</si>
  <si>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</si>
  <si>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</si>
  <si>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</si>
  <si>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</si>
  <si>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</si>
  <si>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</si>
  <si>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</si>
  <si>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</si>
  <si>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</si>
  <si>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</si>
  <si>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</si>
  <si>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</si>
  <si>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</si>
  <si>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</si>
  <si>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</si>
  <si>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</si>
  <si>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</si>
  <si>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</si>
  <si>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</si>
  <si>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</si>
  <si>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</si>
  <si>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</si>
  <si>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</si>
  <si>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</si>
  <si>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</si>
  <si>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</si>
  <si>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</si>
  <si>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</si>
  <si>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</si>
  <si>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</si>
  <si>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</si>
  <si>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</si>
  <si>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</si>
  <si>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</si>
  <si>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</si>
  <si>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</si>
  <si>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</si>
  <si>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</si>
  <si>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</si>
  <si>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</si>
  <si>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</si>
  <si>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</si>
  <si>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</si>
  <si>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</si>
  <si>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</si>
  <si>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</si>
  <si>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</si>
  <si>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</si>
  <si>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</si>
  <si>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</si>
  <si>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</si>
  <si>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</si>
  <si>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</si>
  <si>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</si>
  <si>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</si>
  <si>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</si>
  <si>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</si>
  <si>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</si>
  <si>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</si>
  <si>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</si>
  <si>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</si>
  <si>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</si>
  <si>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</si>
  <si>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</si>
  <si>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</si>
  <si>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</si>
  <si>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</si>
  <si>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</si>
  <si>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</si>
  <si>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</si>
  <si>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</si>
  <si>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</si>
  <si>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</si>
  <si>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</si>
  <si>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</si>
  <si>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</si>
  <si>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</si>
  <si>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</si>
  <si>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</si>
  <si>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</si>
  <si>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</si>
  <si>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</si>
  <si>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</si>
  <si>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</si>
  <si>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</si>
  <si>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</si>
  <si>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</si>
  <si>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</si>
  <si>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</si>
  <si>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</si>
  <si>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</si>
  <si>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</si>
  <si>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</si>
  <si>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</si>
  <si>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</si>
  <si>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</si>
  <si>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</si>
  <si>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</si>
  <si>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</si>
  <si>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</si>
  <si>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</si>
  <si>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</si>
  <si>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</si>
  <si>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</si>
  <si>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</si>
  <si>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</si>
  <si>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</si>
  <si>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</si>
  <si>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</si>
  <si>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</si>
  <si>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</si>
  <si>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</si>
  <si>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</si>
  <si>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</si>
  <si>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</si>
  <si>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</si>
  <si>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</si>
  <si>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</si>
  <si>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</si>
  <si>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</si>
  <si>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</si>
  <si>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</si>
  <si>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</si>
  <si>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</si>
  <si>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</si>
  <si>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</si>
  <si>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</si>
  <si>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</si>
  <si>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</si>
  <si>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</si>
  <si>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</si>
  <si>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</si>
  <si>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</si>
  <si>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</si>
  <si>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</si>
  <si>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</si>
  <si>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</si>
  <si>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</si>
  <si>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</si>
  <si>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</si>
  <si>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</si>
  <si>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</si>
  <si>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</si>
  <si>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</si>
  <si>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</si>
  <si>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</si>
  <si>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</si>
  <si>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</si>
  <si>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</si>
  <si>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</si>
  <si>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</si>
  <si>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</si>
  <si>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</si>
  <si>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</si>
  <si>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</si>
  <si>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</si>
  <si>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</si>
  <si>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</si>
  <si>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</si>
  <si>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</si>
  <si>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</si>
  <si>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</si>
  <si>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</si>
  <si>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</si>
  <si>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</si>
  <si>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</si>
  <si>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</si>
  <si>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</si>
  <si>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</si>
  <si>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</si>
  <si>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</si>
  <si>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</si>
  <si>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</si>
  <si>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</si>
  <si>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</si>
  <si>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</si>
  <si>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</si>
  <si>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</si>
  <si>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</si>
  <si>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</si>
  <si>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</si>
  <si>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</si>
  <si>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</si>
  <si>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</si>
  <si>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</si>
  <si>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</si>
  <si>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</si>
  <si>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</si>
  <si>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</si>
  <si>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</si>
  <si>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</si>
  <si>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</si>
  <si>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</si>
  <si>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</si>
  <si>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</si>
  <si>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</si>
  <si>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</si>
  <si>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</si>
  <si>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</si>
  <si>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</si>
  <si>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</si>
  <si>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</si>
  <si>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</si>
  <si>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</si>
  <si>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</si>
  <si>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</si>
  <si>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</si>
  <si>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</si>
  <si>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</si>
  <si>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</si>
  <si>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</si>
  <si>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</si>
  <si>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</si>
  <si>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</si>
  <si>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</si>
  <si>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</si>
  <si>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</si>
  <si>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</si>
  <si>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</si>
  <si>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</si>
  <si>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</si>
  <si>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</si>
  <si>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</si>
  <si>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</si>
  <si>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</si>
  <si>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</si>
  <si>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</si>
  <si>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</si>
  <si>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</si>
  <si>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</si>
  <si>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</si>
  <si>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</si>
  <si>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</si>
  <si>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</si>
  <si>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</si>
  <si>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</si>
  <si>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</si>
  <si>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</si>
  <si>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</si>
  <si>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</si>
  <si>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</si>
  <si>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</si>
  <si>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</si>
  <si>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</si>
  <si>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</si>
  <si>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</si>
  <si>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</si>
  <si>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</si>
  <si>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</si>
  <si>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</si>
  <si>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</si>
  <si>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</si>
  <si>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</si>
  <si>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</si>
  <si>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</si>
  <si>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</si>
  <si>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</si>
  <si>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</si>
  <si>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</si>
  <si>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</si>
  <si>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</si>
  <si>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</si>
  <si>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</si>
  <si>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</si>
  <si>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</si>
  <si>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</si>
  <si>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</si>
  <si>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</si>
  <si>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</si>
  <si>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</si>
  <si>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</si>
  <si>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</si>
  <si>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</si>
  <si>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</si>
  <si>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</si>
  <si>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</si>
  <si>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</si>
  <si>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</si>
  <si>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</si>
  <si>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</si>
  <si>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</si>
  <si>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</si>
  <si>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</si>
  <si>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</si>
  <si>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</si>
  <si>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</si>
  <si>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</si>
  <si>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</si>
  <si>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</si>
  <si>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</si>
  <si>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</si>
  <si>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</si>
  <si>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</si>
  <si>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</si>
  <si>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</si>
  <si>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</si>
  <si>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</si>
  <si>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</si>
  <si>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</si>
  <si>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</si>
  <si>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</si>
  <si>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</si>
  <si>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</si>
  <si>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</si>
  <si>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</si>
  <si>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</si>
  <si>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</si>
  <si>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</si>
  <si>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</si>
  <si>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</si>
  <si>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</si>
  <si>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</si>
  <si>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</si>
  <si>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</si>
  <si>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</si>
  <si>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</si>
  <si>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</si>
  <si>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</si>
  <si>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</si>
  <si>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</si>
  <si>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</si>
  <si>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</si>
  <si>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</si>
  <si>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</si>
  <si>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</si>
  <si>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</si>
  <si>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</si>
  <si>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</si>
  <si>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</si>
  <si>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</si>
  <si>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</si>
  <si>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</si>
  <si>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</si>
  <si>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</si>
  <si>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</si>
  <si>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</si>
  <si>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</si>
  <si>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</si>
  <si>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</si>
  <si>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</si>
  <si>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</si>
  <si>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</si>
  <si>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</si>
  <si>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</si>
  <si>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</si>
  <si>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</si>
  <si>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</si>
  <si>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</si>
  <si>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</si>
  <si>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</si>
  <si>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</si>
  <si>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</si>
  <si>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</si>
  <si>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</si>
  <si>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</si>
  <si>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</si>
  <si>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</si>
  <si>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</si>
  <si>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</si>
  <si>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</si>
  <si>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</si>
  <si>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</si>
  <si>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</si>
  <si>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</si>
  <si>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</si>
  <si>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</si>
  <si>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</si>
  <si>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</si>
  <si>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</si>
  <si>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</si>
  <si>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</si>
  <si>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</si>
  <si>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</si>
  <si>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</si>
  <si>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</si>
  <si>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</si>
  <si>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</si>
  <si>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</si>
  <si>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</si>
  <si>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</si>
  <si>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</si>
  <si>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</si>
  <si>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</si>
  <si>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</si>
  <si>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</si>
  <si>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</si>
  <si>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</si>
  <si>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</si>
  <si>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</si>
  <si>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</si>
  <si>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</si>
  <si>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</si>
  <si>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</si>
  <si>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</si>
  <si>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</si>
  <si>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</si>
  <si>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</si>
  <si>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</si>
  <si>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</si>
  <si>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</si>
  <si>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</si>
  <si>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</si>
  <si>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</si>
  <si>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</si>
  <si>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</si>
  <si>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</si>
  <si>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</si>
  <si>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</si>
  <si>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</si>
  <si>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</si>
  <si>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</si>
  <si>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</si>
  <si>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</si>
  <si>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</si>
  <si>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</si>
  <si>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</si>
  <si>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</si>
  <si>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</si>
  <si>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</si>
  <si>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</si>
  <si>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</si>
  <si>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</si>
  <si>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</si>
  <si>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</si>
  <si>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</si>
  <si>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</si>
  <si>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</si>
  <si>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</si>
  <si>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</si>
  <si>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</si>
  <si>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</si>
  <si>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</si>
  <si>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</si>
  <si>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</si>
  <si>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</si>
  <si>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</si>
  <si>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</si>
  <si>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</si>
  <si>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</si>
  <si>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</si>
  <si>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</si>
  <si>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</si>
  <si>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</si>
  <si>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</si>
  <si>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</si>
  <si>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</si>
  <si>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</si>
  <si>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</si>
  <si>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</si>
  <si>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</si>
  <si>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</si>
  <si>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</si>
  <si>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</si>
  <si>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</si>
  <si>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</si>
  <si>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</si>
  <si>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</si>
  <si>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</si>
  <si>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</si>
  <si>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</si>
  <si>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</si>
  <si>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</si>
  <si>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</si>
  <si>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</si>
  <si>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</si>
  <si>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</si>
  <si>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</si>
  <si>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</si>
  <si>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</si>
  <si>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</si>
  <si>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</si>
  <si>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</si>
  <si>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</si>
  <si>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</si>
  <si>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</si>
  <si>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</si>
  <si>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</si>
  <si>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</si>
  <si>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</si>
  <si>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</si>
  <si>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</si>
  <si>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</si>
  <si>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</si>
  <si>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</si>
  <si>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</si>
  <si>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</si>
  <si>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</si>
  <si>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</si>
  <si>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</si>
  <si>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</si>
  <si>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</si>
  <si>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</si>
  <si>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</si>
  <si>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</si>
  <si>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</si>
  <si>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</si>
  <si>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</si>
  <si>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</si>
  <si>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</si>
  <si>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</si>
  <si>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</si>
  <si>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</si>
  <si>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</si>
  <si>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</si>
  <si>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</si>
  <si>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</si>
  <si>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</si>
  <si>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</si>
  <si>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</si>
  <si>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</si>
  <si>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</si>
  <si>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</si>
  <si>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</si>
  <si>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</si>
  <si>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</si>
  <si>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</si>
  <si>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</si>
  <si>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</si>
  <si>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</si>
  <si>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</si>
  <si>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</si>
  <si>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</si>
  <si>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</si>
  <si>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</si>
  <si>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</si>
  <si>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</si>
  <si>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</si>
  <si>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</si>
  <si>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</si>
  <si>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</si>
  <si>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</si>
  <si>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</si>
  <si>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</si>
  <si>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</si>
  <si>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</si>
  <si>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</si>
  <si>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</si>
  <si>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</si>
  <si>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</si>
  <si>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</si>
  <si>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</si>
  <si>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</si>
  <si>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</si>
  <si>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</si>
  <si>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</si>
  <si>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</si>
  <si>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</si>
  <si>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</si>
  <si>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</si>
  <si>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</si>
  <si>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</si>
  <si>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</si>
  <si>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</si>
  <si>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</si>
  <si>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</si>
  <si>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</si>
  <si>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</si>
  <si>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</si>
  <si>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</si>
  <si>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</si>
  <si>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</si>
  <si>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</si>
  <si>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</si>
  <si>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</si>
  <si>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</si>
  <si>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</si>
  <si>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</si>
  <si>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</si>
  <si>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</si>
  <si>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</si>
  <si>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</si>
  <si>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</si>
  <si>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</si>
  <si>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</si>
  <si>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</si>
  <si>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</si>
  <si>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</si>
  <si>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</si>
  <si>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</si>
  <si>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</si>
  <si>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</si>
  <si>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</si>
  <si>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</si>
  <si>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</si>
  <si>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</si>
  <si>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</si>
  <si>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</si>
  <si>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</si>
  <si>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</si>
  <si>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</si>
  <si>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</si>
  <si>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</si>
  <si>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</si>
  <si>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</si>
  <si>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</si>
  <si>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</si>
  <si>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</si>
  <si>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</si>
  <si>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</si>
  <si>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</si>
  <si>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</si>
  <si>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</si>
  <si>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</si>
  <si>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</si>
  <si>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</si>
  <si>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</si>
  <si>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</si>
  <si>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</si>
  <si>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</si>
  <si>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</si>
  <si>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</si>
  <si>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</si>
  <si>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</si>
  <si>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</si>
  <si>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</si>
  <si>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</si>
  <si>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</si>
  <si>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</si>
  <si>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</si>
  <si>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</si>
  <si>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</si>
  <si>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</si>
  <si>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</si>
  <si>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</si>
  <si>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</si>
  <si>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</si>
  <si>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</si>
  <si>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</si>
  <si>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</si>
  <si>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</si>
  <si>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</si>
  <si>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</si>
  <si>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</si>
  <si>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</si>
  <si>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</si>
  <si>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</si>
  <si>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</si>
  <si>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</si>
  <si>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</si>
  <si>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</si>
  <si>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</si>
  <si>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</si>
  <si>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</si>
  <si>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</si>
  <si>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</si>
  <si>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</si>
  <si>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</si>
  <si>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</si>
  <si>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</si>
  <si>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</si>
  <si>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</si>
  <si>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</si>
  <si>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</si>
  <si>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</si>
  <si>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</si>
  <si>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</si>
  <si>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</si>
  <si>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</si>
  <si>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</si>
  <si>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</si>
  <si>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</si>
  <si>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</si>
  <si>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</si>
  <si>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</si>
  <si>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</si>
  <si>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</si>
  <si>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</si>
  <si>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</si>
  <si>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</si>
  <si>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</si>
  <si>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</si>
  <si>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</si>
  <si>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</si>
  <si>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</si>
  <si>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</si>
  <si>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</si>
  <si>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</si>
  <si>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</si>
  <si>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</si>
  <si>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</si>
  <si>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</si>
  <si>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</si>
  <si>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</si>
  <si>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</si>
  <si>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</si>
  <si>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</si>
  <si>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</si>
  <si>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</si>
  <si>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</si>
  <si>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</si>
  <si>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</si>
  <si>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</si>
  <si>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</si>
  <si>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</si>
  <si>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</si>
  <si>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</si>
  <si>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</si>
  <si>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</si>
  <si>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</si>
  <si>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</si>
  <si>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</si>
  <si>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</si>
  <si>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</si>
  <si>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</si>
  <si>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</si>
  <si>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</si>
  <si>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</si>
  <si>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</si>
  <si>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</si>
  <si>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</si>
  <si>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</si>
  <si>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</si>
  <si>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</si>
  <si>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</si>
  <si>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</si>
  <si>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</si>
  <si>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</si>
  <si>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</si>
  <si>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</si>
  <si>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</si>
  <si>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</si>
  <si>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</si>
  <si>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</si>
  <si>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</si>
  <si>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</si>
  <si>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</si>
  <si>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</si>
  <si>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</si>
  <si>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</si>
  <si>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</si>
  <si>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</si>
  <si>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</si>
  <si>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</si>
  <si>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</si>
  <si>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</si>
  <si>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</si>
  <si>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</si>
  <si>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</si>
  <si>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</si>
  <si>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</si>
  <si>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</si>
  <si>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</si>
  <si>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</si>
  <si>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</si>
  <si>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</si>
  <si>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</si>
  <si>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</si>
  <si>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</si>
  <si>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</si>
  <si>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</si>
  <si>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</si>
  <si>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</si>
  <si>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</si>
  <si>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</si>
  <si>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</si>
  <si>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</si>
  <si>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</si>
  <si>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</si>
  <si>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</si>
  <si>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</si>
  <si>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</si>
  <si>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</si>
  <si>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</si>
  <si>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</si>
  <si>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</si>
  <si>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</si>
  <si>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</si>
  <si>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</si>
  <si>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</si>
  <si>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</si>
  <si>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</si>
  <si>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</si>
  <si>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</si>
  <si>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</si>
  <si>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</si>
  <si>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</si>
  <si>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</si>
  <si>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</si>
  <si>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</si>
  <si>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</si>
  <si>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</si>
  <si>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</si>
  <si>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</si>
  <si>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</si>
  <si>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</si>
  <si>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</si>
  <si>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</si>
  <si>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</si>
  <si>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</si>
  <si>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</si>
  <si>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</si>
  <si>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</si>
  <si>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</si>
  <si>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</si>
  <si>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</si>
  <si>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</si>
  <si>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</si>
  <si>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</si>
  <si>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</si>
  <si>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</si>
  <si>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</si>
  <si>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</si>
  <si>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</si>
  <si>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</si>
  <si>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</si>
  <si>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</si>
  <si>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</si>
  <si>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</si>
  <si>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</si>
  <si>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</si>
  <si>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</si>
  <si>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</si>
  <si>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</si>
  <si>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</si>
  <si>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</si>
  <si>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</si>
  <si>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</si>
  <si>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</si>
  <si>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</si>
  <si>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</si>
  <si>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</si>
  <si>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</si>
  <si>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</si>
  <si>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</si>
  <si>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</si>
  <si>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</si>
  <si>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</si>
  <si>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</si>
  <si>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</si>
  <si>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</si>
  <si>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</si>
  <si>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</si>
  <si>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</si>
  <si>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</si>
  <si>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</si>
  <si>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</si>
  <si>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</si>
  <si>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</si>
  <si>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</si>
  <si>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</si>
  <si>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</si>
  <si>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</si>
  <si>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</si>
  <si>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</si>
  <si>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</si>
  <si>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</si>
  <si>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</si>
  <si>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</si>
  <si>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</si>
  <si>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</si>
  <si>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</si>
  <si>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</si>
  <si>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</si>
  <si>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</si>
  <si>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</si>
  <si>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</si>
  <si>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</si>
  <si>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</si>
  <si>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</si>
  <si>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</si>
  <si>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</si>
  <si>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</si>
  <si>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</si>
  <si>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</si>
  <si>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</si>
  <si>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</si>
  <si>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</si>
  <si>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</si>
  <si>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</si>
  <si>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</si>
  <si>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</si>
  <si>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</si>
  <si>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</si>
  <si>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</si>
  <si>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</si>
  <si>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</si>
  <si>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</si>
  <si>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</si>
  <si>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</si>
  <si>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</si>
  <si>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</si>
  <si>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</si>
  <si>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</si>
  <si>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</si>
  <si>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</si>
  <si>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</si>
  <si>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</si>
  <si>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</si>
  <si>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</si>
  <si>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</si>
  <si>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</si>
  <si>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</si>
  <si>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</si>
  <si>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</si>
  <si>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</si>
  <si>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</si>
  <si>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</si>
  <si>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</si>
  <si>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</si>
  <si>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</si>
  <si>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</si>
  <si>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</si>
  <si>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</si>
  <si>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</si>
  <si>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</si>
  <si>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</si>
  <si>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</si>
  <si>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</si>
  <si>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</si>
  <si>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</si>
  <si>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</si>
  <si>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</si>
  <si>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</si>
  <si>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</si>
  <si>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</si>
  <si>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</si>
  <si>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</si>
  <si>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</si>
  <si>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</si>
  <si>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</si>
  <si>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</si>
  <si>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</si>
  <si>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</si>
  <si>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</si>
  <si>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</si>
  <si>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</si>
  <si>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</si>
  <si>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</si>
  <si>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</si>
  <si>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</si>
  <si>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</si>
  <si>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</si>
  <si>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</si>
  <si>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</si>
  <si>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</si>
  <si>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</si>
  <si>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</si>
  <si>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</si>
  <si>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</si>
  <si>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</si>
  <si>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</si>
  <si>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</si>
  <si>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</si>
  <si>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</si>
  <si>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</si>
  <si>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</si>
  <si>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</si>
  <si>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</si>
  <si>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</si>
  <si>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</si>
  <si>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</si>
  <si>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</si>
  <si>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</si>
  <si>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</si>
  <si>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</si>
  <si>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</si>
  <si>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</si>
  <si>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</si>
  <si>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</si>
  <si>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</si>
  <si>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</si>
  <si>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</si>
  <si>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</si>
  <si>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</si>
  <si>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</si>
  <si>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</si>
  <si>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</si>
  <si>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</si>
  <si>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</si>
  <si>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</si>
  <si>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</si>
  <si>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</si>
  <si>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</si>
  <si>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</si>
  <si>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</si>
  <si>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</si>
  <si>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</si>
  <si>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</si>
  <si>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</si>
  <si>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</si>
  <si>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</si>
  <si>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</si>
  <si>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</si>
  <si>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</si>
  <si>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</si>
  <si>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</si>
  <si>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</si>
  <si>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</si>
  <si>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</si>
  <si>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</si>
  <si>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</si>
  <si>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</si>
  <si>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</si>
  <si>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</si>
  <si>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</si>
  <si>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</si>
  <si>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</si>
  <si>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</si>
  <si>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</si>
  <si>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</si>
  <si>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</si>
  <si>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</si>
  <si>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</si>
  <si>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</si>
  <si>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</si>
  <si>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</si>
  <si>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</si>
  <si>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</si>
  <si>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</si>
  <si>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</si>
  <si>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</si>
  <si>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</si>
  <si>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</si>
  <si>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</si>
  <si>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</si>
  <si>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</si>
  <si>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</si>
  <si>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</si>
  <si>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</si>
  <si>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</si>
  <si>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</si>
  <si>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</si>
  <si>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</si>
  <si>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</si>
  <si>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</si>
  <si>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</si>
  <si>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</si>
  <si>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</si>
  <si>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</si>
  <si>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</si>
  <si>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</si>
  <si>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</si>
  <si>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</si>
  <si>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</si>
  <si>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</si>
  <si>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</si>
  <si>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</si>
  <si>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</si>
  <si>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</si>
  <si>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</si>
  <si>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</si>
  <si>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</si>
  <si>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</si>
  <si>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</si>
  <si>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</si>
  <si>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</si>
  <si>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</si>
  <si>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</si>
  <si>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</si>
  <si>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</si>
  <si>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</si>
  <si>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</si>
  <si>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</si>
  <si>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</si>
  <si>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</si>
  <si>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</si>
  <si>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</si>
  <si>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</si>
  <si>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</si>
  <si>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</si>
  <si>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</si>
  <si>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</si>
  <si>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</si>
  <si>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</si>
  <si>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</si>
  <si>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</si>
  <si>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</si>
  <si>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</si>
  <si>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</si>
  <si>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</si>
  <si>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</si>
  <si>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</si>
  <si>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</si>
  <si>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</si>
  <si>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</si>
  <si>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</si>
  <si>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</si>
  <si>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</si>
  <si>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</si>
  <si>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</si>
  <si>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</si>
  <si>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</si>
  <si>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</si>
  <si>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</si>
  <si>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</si>
  <si>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</si>
  <si>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</si>
  <si>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</si>
  <si>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</si>
  <si>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</si>
  <si>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</si>
  <si>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</si>
  <si>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</si>
  <si>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</si>
  <si>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</si>
  <si>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</si>
  <si>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</si>
  <si>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</si>
  <si>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</si>
  <si>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</si>
  <si>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</si>
  <si>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</si>
  <si>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</si>
  <si>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</si>
  <si>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</si>
  <si>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</si>
  <si>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</si>
  <si>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</si>
  <si>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</si>
  <si>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</si>
  <si>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</si>
  <si>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</si>
  <si>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</si>
  <si>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</si>
  <si>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</si>
  <si>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</si>
  <si>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</si>
  <si>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</si>
  <si>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</si>
  <si>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</si>
  <si>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</si>
  <si>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</si>
  <si>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</si>
  <si>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</si>
  <si>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</si>
  <si>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</si>
  <si>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</si>
  <si>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</si>
  <si>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</si>
  <si>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</si>
  <si>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</si>
  <si>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</si>
  <si>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</si>
  <si>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</si>
  <si>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</si>
  <si>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</si>
  <si>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</si>
  <si>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</si>
  <si>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</si>
  <si>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</si>
  <si>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</si>
  <si>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</si>
  <si>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</si>
  <si>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</si>
  <si>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</si>
  <si>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</si>
  <si>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</si>
  <si>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</si>
  <si>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</si>
  <si>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</si>
  <si>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</si>
  <si>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</si>
  <si>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</si>
  <si>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</si>
  <si>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</si>
  <si>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</si>
  <si>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</si>
  <si>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</si>
  <si>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</si>
  <si>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</si>
  <si>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</si>
  <si>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</si>
  <si>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</si>
  <si>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</si>
  <si>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</si>
  <si>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</si>
  <si>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</si>
  <si>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</si>
  <si>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</si>
  <si>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</si>
  <si>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</si>
  <si>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</si>
  <si>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</si>
  <si>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</si>
  <si>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</si>
  <si>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</si>
  <si>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</si>
  <si>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</si>
  <si>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</si>
  <si>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</si>
  <si>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</si>
  <si>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</si>
  <si>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</si>
  <si>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</si>
  <si>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</si>
  <si>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</si>
  <si>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</si>
  <si>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</si>
  <si>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</si>
  <si>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</si>
  <si>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</si>
  <si>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</si>
  <si>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</si>
  <si>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</si>
  <si>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</si>
  <si>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</si>
  <si>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</si>
  <si>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</si>
  <si>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</si>
  <si>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</si>
  <si>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</si>
  <si>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</si>
  <si>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</si>
  <si>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</si>
  <si>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</si>
  <si>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</si>
  <si>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</si>
  <si>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</si>
  <si>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</si>
  <si>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</si>
  <si>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</si>
  <si>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</si>
  <si>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</si>
  <si>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</si>
  <si>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</si>
  <si>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</si>
  <si>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</si>
  <si>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</si>
  <si>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</si>
  <si>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</si>
  <si>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</si>
  <si>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</si>
  <si>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</si>
  <si>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</si>
  <si>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</si>
  <si>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</si>
  <si>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</si>
  <si>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</si>
  <si>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</si>
  <si>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</si>
  <si>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</si>
  <si>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</si>
  <si>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</si>
  <si>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</si>
  <si>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</si>
  <si>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</si>
  <si>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</si>
  <si>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</si>
  <si>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</si>
  <si>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</si>
  <si>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</si>
  <si>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</si>
  <si>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</si>
  <si>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</si>
  <si>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</si>
  <si>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</si>
  <si>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</si>
  <si>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</si>
  <si>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</si>
  <si>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</si>
  <si>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</si>
  <si>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</si>
  <si>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</si>
  <si>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</si>
  <si>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</si>
  <si>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</si>
  <si>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</si>
  <si>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</si>
  <si>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</si>
  <si>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</si>
  <si>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</si>
  <si>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</si>
  <si>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</si>
  <si>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</si>
  <si>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</si>
  <si>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</si>
  <si>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</si>
  <si>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</si>
  <si>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</si>
  <si>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</si>
  <si>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</si>
  <si>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</si>
  <si>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</si>
  <si>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</si>
  <si>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</si>
  <si>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</si>
  <si>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</si>
  <si>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</si>
  <si>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</si>
  <si>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</si>
  <si>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</si>
  <si>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</si>
  <si>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</si>
  <si>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</si>
  <si>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</si>
  <si>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</si>
  <si>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</si>
  <si>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</si>
  <si>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</si>
  <si>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</si>
  <si>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</si>
  <si>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</si>
  <si>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</si>
  <si>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</si>
  <si>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</si>
  <si>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</si>
  <si>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</si>
  <si>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</si>
  <si>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</si>
  <si>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</si>
  <si>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</si>
  <si>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</si>
  <si>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</si>
  <si>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</si>
  <si>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</si>
  <si>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</si>
  <si>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</si>
  <si>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</si>
  <si>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</si>
  <si>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</si>
  <si>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</si>
  <si>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</si>
  <si>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</si>
  <si>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</si>
  <si>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</si>
  <si>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</si>
  <si>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</si>
  <si>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</si>
  <si>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</si>
  <si>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</si>
  <si>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</si>
  <si>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</si>
  <si>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</si>
  <si>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</si>
  <si>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</si>
  <si>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</si>
  <si>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</si>
  <si>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</si>
  <si>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</si>
  <si>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</si>
  <si>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</si>
  <si>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</si>
  <si>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</si>
  <si>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</si>
  <si>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</si>
  <si>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</si>
  <si>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</si>
  <si>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</si>
  <si>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</si>
  <si>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</si>
  <si>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</si>
  <si>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</si>
  <si>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</si>
  <si>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</si>
  <si>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</si>
  <si>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</si>
  <si>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</si>
  <si>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</si>
  <si>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</si>
  <si>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</si>
  <si>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</si>
  <si>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</si>
  <si>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</si>
  <si>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</si>
  <si>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</si>
  <si>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</si>
  <si>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</si>
  <si>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</si>
  <si>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</si>
  <si>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</si>
  <si>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</si>
  <si>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</si>
  <si>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</si>
  <si>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</si>
  <si>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</si>
  <si>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</si>
  <si>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</si>
  <si>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</si>
  <si>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</si>
  <si>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</si>
  <si>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</si>
  <si>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</si>
  <si>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</si>
  <si>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</si>
  <si>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</si>
  <si>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</si>
  <si>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</si>
  <si>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</si>
  <si>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</si>
  <si>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</si>
  <si>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</si>
  <si>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</si>
  <si>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</si>
  <si>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</si>
  <si>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</si>
  <si>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</si>
  <si>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</si>
  <si>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</si>
  <si>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</si>
  <si>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</si>
  <si>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</si>
  <si>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</si>
  <si>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</si>
  <si>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</si>
  <si>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</si>
  <si>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</si>
  <si>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</si>
  <si>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</si>
  <si>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</si>
  <si>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</si>
  <si>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</si>
  <si>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</si>
  <si>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</si>
  <si>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</si>
  <si>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</si>
  <si>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</si>
  <si>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</si>
  <si>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</si>
  <si>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</si>
  <si>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</si>
  <si>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</si>
  <si>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</si>
  <si>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</si>
  <si>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</si>
  <si>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</si>
  <si>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</si>
  <si>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</si>
  <si>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</si>
  <si>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</si>
  <si>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</si>
  <si>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</si>
  <si>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</si>
  <si>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</si>
  <si>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</si>
  <si>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</si>
  <si>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</si>
  <si>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</si>
  <si>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</si>
  <si>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</si>
  <si>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</si>
  <si>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</si>
  <si>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</si>
  <si>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</si>
  <si>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</si>
  <si>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</si>
  <si>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</si>
  <si>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</si>
  <si>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</si>
  <si>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</si>
  <si>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</si>
  <si>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</si>
  <si>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</si>
  <si>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</si>
  <si>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</si>
  <si>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</si>
  <si>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</si>
  <si>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</si>
  <si>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</si>
  <si>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</si>
  <si>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</si>
  <si>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</si>
  <si>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</si>
  <si>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</si>
  <si>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</si>
  <si>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</si>
  <si>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</si>
  <si>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</si>
  <si>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</si>
  <si>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</si>
  <si>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</si>
  <si>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</si>
  <si>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</si>
  <si>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</si>
  <si>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</si>
  <si>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</si>
  <si>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</si>
  <si>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</si>
  <si>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</si>
  <si>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</si>
  <si>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</si>
  <si>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</si>
  <si>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</si>
  <si>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</si>
  <si>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</si>
  <si>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</si>
  <si>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</si>
  <si>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</si>
  <si>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</si>
  <si>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</si>
  <si>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</si>
  <si>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</si>
  <si>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</si>
  <si>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</si>
  <si>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</si>
  <si>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</si>
  <si>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</si>
  <si>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</si>
  <si>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</si>
  <si>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</si>
  <si>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</si>
  <si>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</si>
  <si>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</si>
  <si>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</si>
  <si>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</si>
  <si>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</si>
  <si>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</si>
  <si>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</si>
  <si>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</si>
  <si>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</si>
  <si>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</si>
  <si>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</si>
  <si>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</si>
  <si>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</si>
  <si>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</si>
  <si>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</si>
  <si>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</si>
  <si>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</si>
  <si>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</si>
  <si>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</si>
  <si>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</si>
  <si>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</si>
  <si>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</si>
  <si>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</si>
  <si>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</si>
  <si>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</si>
  <si>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</si>
  <si>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</si>
  <si>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</si>
  <si>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</si>
  <si>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</si>
  <si>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</si>
  <si>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</si>
  <si>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</si>
  <si>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</si>
  <si>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</si>
  <si>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</si>
  <si>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</si>
  <si>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</si>
  <si>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</si>
  <si>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</si>
  <si>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</si>
  <si>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</si>
  <si>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</si>
  <si>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</si>
  <si>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</si>
  <si>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</si>
  <si>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</si>
  <si>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</si>
  <si>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</si>
  <si>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</si>
  <si>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</si>
  <si>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</si>
  <si>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</si>
  <si>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</si>
  <si>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</si>
  <si>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</si>
  <si>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</si>
  <si>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</si>
  <si>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</si>
  <si>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</si>
  <si>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</si>
  <si>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</si>
  <si>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</si>
  <si>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</si>
  <si>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</si>
  <si>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</si>
  <si>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</si>
  <si>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</si>
  <si>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</si>
  <si>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</si>
  <si>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</si>
  <si>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</si>
  <si>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</si>
  <si>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</si>
  <si>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</si>
  <si>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</si>
  <si>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</si>
  <si>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</si>
  <si>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</si>
  <si>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</si>
  <si>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</si>
  <si>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</si>
  <si>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</si>
  <si>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</si>
  <si>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</si>
  <si>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</si>
  <si>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</si>
  <si>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</si>
  <si>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</si>
  <si>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</si>
  <si>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</si>
  <si>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</si>
  <si>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</si>
  <si>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</si>
  <si>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</si>
  <si>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</si>
  <si>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</si>
  <si>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</si>
  <si>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</si>
  <si>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</si>
  <si>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</si>
  <si>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</si>
  <si>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</si>
  <si>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</si>
  <si>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</si>
  <si>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</si>
  <si>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</si>
  <si>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</si>
  <si>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</si>
  <si>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</si>
  <si>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</si>
  <si>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</si>
  <si>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</si>
  <si>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</si>
  <si>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</si>
  <si>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</si>
  <si>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</si>
  <si>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</si>
  <si>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</si>
  <si>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</si>
  <si>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</si>
  <si>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</si>
  <si>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</si>
  <si>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</si>
  <si>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</si>
  <si>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</si>
  <si>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</si>
  <si>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</si>
  <si>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</si>
  <si>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</si>
  <si>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</si>
  <si>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</si>
  <si>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</si>
  <si>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</si>
  <si>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</si>
  <si>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</si>
  <si>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</si>
  <si>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</si>
  <si>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</si>
  <si>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</si>
  <si>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</si>
  <si>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</si>
  <si>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</si>
  <si>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</si>
  <si>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</si>
  <si>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</si>
  <si>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</si>
  <si>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</si>
  <si>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</si>
  <si>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</si>
  <si>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</si>
  <si>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</si>
  <si>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</si>
  <si>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</si>
  <si>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</si>
  <si>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</si>
  <si>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</si>
  <si>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</si>
  <si>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</si>
  <si>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</si>
  <si>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</si>
  <si>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</si>
  <si>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</si>
  <si>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</si>
  <si>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</si>
  <si>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</si>
  <si>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</si>
  <si>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</si>
  <si>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</si>
  <si>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</si>
  <si>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</si>
  <si>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</si>
  <si>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</si>
  <si>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</si>
  <si>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</si>
  <si>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</si>
  <si>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</si>
  <si>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</si>
  <si>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</si>
  <si>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</si>
  <si>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</si>
  <si>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</si>
  <si>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</si>
  <si>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</si>
  <si>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</si>
  <si>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</si>
  <si>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</si>
  <si>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</si>
  <si>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</si>
  <si>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</si>
  <si>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</si>
  <si>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</si>
  <si>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</si>
  <si>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</si>
  <si>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</si>
  <si>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</si>
  <si>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</si>
  <si>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</si>
  <si>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</si>
  <si>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</si>
  <si>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</si>
  <si>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</si>
  <si>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</si>
  <si>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</si>
  <si>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</si>
  <si>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</si>
  <si>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</si>
  <si>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</si>
  <si>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</si>
  <si>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</si>
  <si>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</si>
  <si>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</si>
  <si>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</si>
  <si>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</si>
  <si>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</si>
  <si>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</si>
  <si>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</si>
  <si>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</si>
  <si>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</si>
  <si>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</si>
  <si>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</si>
  <si>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</si>
  <si>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</si>
  <si>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</si>
  <si>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</si>
  <si>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</si>
  <si>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</si>
  <si>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</si>
  <si>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</si>
  <si>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</si>
  <si>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</si>
  <si>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</si>
  <si>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</si>
  <si>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</si>
  <si>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</si>
  <si>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</si>
  <si>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</si>
  <si>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</si>
  <si>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</si>
  <si>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</si>
  <si>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</si>
  <si>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</si>
  <si>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</si>
  <si>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</si>
  <si>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</si>
  <si>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</si>
  <si>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</si>
  <si>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</si>
  <si>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</si>
  <si>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</si>
  <si>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</si>
  <si>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</si>
  <si>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</si>
  <si>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</si>
  <si>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</si>
  <si>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</si>
  <si>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</si>
  <si>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</si>
  <si>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</si>
  <si>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</si>
  <si>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</si>
  <si>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</si>
  <si>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</si>
  <si>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</si>
  <si>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</si>
  <si>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</si>
  <si>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</si>
  <si>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</si>
  <si>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</si>
  <si>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</si>
  <si>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</si>
  <si>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</si>
  <si>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</si>
  <si>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</si>
  <si>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</si>
  <si>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</si>
  <si>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</si>
  <si>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</si>
  <si>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</si>
  <si>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</si>
  <si>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</si>
  <si>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</si>
  <si>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</si>
  <si>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</si>
  <si>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</si>
  <si>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</si>
  <si>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</si>
  <si>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</si>
  <si>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</si>
  <si>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</si>
  <si>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</si>
  <si>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</si>
  <si>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</si>
  <si>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</si>
  <si>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</si>
  <si>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</si>
  <si>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</si>
  <si>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</si>
  <si>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</si>
  <si>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</si>
  <si>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</si>
  <si>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</si>
  <si>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</si>
  <si>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</si>
  <si>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</si>
  <si>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</si>
  <si>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</si>
  <si>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</si>
  <si>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</si>
  <si>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</si>
  <si>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</si>
  <si>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</si>
  <si>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</si>
  <si>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</si>
  <si>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</si>
  <si>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</si>
  <si>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</si>
  <si>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</si>
  <si>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</si>
  <si>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</si>
  <si>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</si>
  <si>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</si>
  <si>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</si>
  <si>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</si>
  <si>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</si>
  <si>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</si>
  <si>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</si>
  <si>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</si>
  <si>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</si>
  <si>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</si>
  <si>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</si>
  <si>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</si>
  <si>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</si>
  <si>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</si>
  <si>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</si>
  <si>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</si>
  <si>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</si>
  <si>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</si>
  <si>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</si>
  <si>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</si>
  <si>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</si>
  <si>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</si>
  <si>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</si>
  <si>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</si>
  <si>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</si>
  <si>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</si>
  <si>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</si>
  <si>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</si>
  <si>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</si>
  <si>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</si>
  <si>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</si>
  <si>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</si>
  <si>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</si>
  <si>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</si>
  <si>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</si>
  <si>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</si>
  <si>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</si>
  <si>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</si>
  <si>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</si>
  <si>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</si>
  <si>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</si>
  <si>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</si>
  <si>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</si>
  <si>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</si>
  <si>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</si>
  <si>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</si>
  <si>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</si>
  <si>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</si>
  <si>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</si>
  <si>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</si>
  <si>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</si>
  <si>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</si>
  <si>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</si>
  <si>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</si>
  <si>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</si>
  <si>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</si>
  <si>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</si>
  <si>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</si>
  <si>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</si>
  <si>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</si>
  <si>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</si>
  <si>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</si>
  <si>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</si>
  <si>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</si>
  <si>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</si>
  <si>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</si>
  <si>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</si>
  <si>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</si>
  <si>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</si>
  <si>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</si>
  <si>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</si>
  <si>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</si>
  <si>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</si>
  <si>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</si>
  <si>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</si>
  <si>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</si>
  <si>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</si>
  <si>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</si>
  <si>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</si>
  <si>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</si>
  <si>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</si>
  <si>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</si>
  <si>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</si>
  <si>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</si>
  <si>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</si>
  <si>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</si>
  <si>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</si>
  <si>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</si>
  <si>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</si>
  <si>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</si>
  <si>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</si>
  <si>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</si>
  <si>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</si>
  <si>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</si>
  <si>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</si>
  <si>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</si>
  <si>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</si>
  <si>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</si>
  <si>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</si>
  <si>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</si>
  <si>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</si>
  <si>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</si>
  <si>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</si>
  <si>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</si>
  <si>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</si>
  <si>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</si>
  <si>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</si>
  <si>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</si>
  <si>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</si>
  <si>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</si>
  <si>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</si>
  <si>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</si>
  <si>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</si>
  <si>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</si>
  <si>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</si>
  <si>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</si>
  <si>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</si>
  <si>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</si>
  <si>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</si>
  <si>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</si>
  <si>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</si>
  <si>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</si>
  <si>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</si>
  <si>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</si>
  <si>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</si>
  <si>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</si>
  <si>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</si>
  <si>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</si>
  <si>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</si>
  <si>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</si>
  <si>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</si>
  <si>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</si>
  <si>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</si>
  <si>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</si>
  <si>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</si>
  <si>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</si>
  <si>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</si>
  <si>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</si>
  <si>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</si>
  <si>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</si>
  <si>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</si>
  <si>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</si>
  <si>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</si>
  <si>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</si>
  <si>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</si>
  <si>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</si>
  <si>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</si>
  <si>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</si>
  <si>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</si>
  <si>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</si>
  <si>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</si>
  <si>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</si>
  <si>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</si>
  <si>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</si>
  <si>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</si>
  <si>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</si>
  <si>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</si>
  <si>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</si>
  <si>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</si>
  <si>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</si>
  <si>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</si>
  <si>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</si>
  <si>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</si>
  <si>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</si>
  <si>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</si>
  <si>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</si>
  <si>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</si>
  <si>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</si>
  <si>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</si>
  <si>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</si>
  <si>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</si>
  <si>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</si>
  <si>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</si>
  <si>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</si>
  <si>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</si>
  <si>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</si>
  <si>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</si>
  <si>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</si>
  <si>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</si>
  <si>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</si>
  <si>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</si>
  <si>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</si>
  <si>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</si>
  <si>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</si>
  <si>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</si>
  <si>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</si>
  <si>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</si>
  <si>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</si>
  <si>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</si>
  <si>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</si>
  <si>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</si>
  <si>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</si>
  <si>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</si>
  <si>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</si>
  <si>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</si>
  <si>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</si>
  <si>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</si>
  <si>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</si>
  <si>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</si>
  <si>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</si>
  <si>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</si>
  <si>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</si>
  <si>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</si>
  <si>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</si>
  <si>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</si>
  <si>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</si>
  <si>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</si>
  <si>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</si>
  <si>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</si>
  <si>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</si>
  <si>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</si>
  <si>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</si>
  <si>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</si>
  <si>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</si>
  <si>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</si>
  <si>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</si>
  <si>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</si>
  <si>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</si>
  <si>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</si>
  <si>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</si>
  <si>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</si>
  <si>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</si>
  <si>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</si>
  <si>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</si>
  <si>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</si>
  <si>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</si>
  <si>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</si>
  <si>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</si>
  <si>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</si>
  <si>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</si>
  <si>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</si>
  <si>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</si>
  <si>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</si>
  <si>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</si>
  <si>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</si>
  <si>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</si>
  <si>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</si>
  <si>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</si>
  <si>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</si>
  <si>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</si>
  <si>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</si>
  <si>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</si>
  <si>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</si>
  <si>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</si>
  <si>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</si>
  <si>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</si>
  <si>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</si>
  <si>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</si>
  <si>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</si>
  <si>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</si>
  <si>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</si>
  <si>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</si>
  <si>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</si>
  <si>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</si>
  <si>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</si>
  <si>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</si>
  <si>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</si>
  <si>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</si>
  <si>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</si>
  <si>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</si>
  <si>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</si>
  <si>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</si>
  <si>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</si>
  <si>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</si>
  <si>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</si>
  <si>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</si>
  <si>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</si>
  <si>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</si>
  <si>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</si>
  <si>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</si>
  <si>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</si>
  <si>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</si>
  <si>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</si>
  <si>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</si>
  <si>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</si>
  <si>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</si>
  <si>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</si>
  <si>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</si>
  <si>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</si>
  <si>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</si>
  <si>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</si>
  <si>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</si>
  <si>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</si>
  <si>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</si>
  <si>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</si>
  <si>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</si>
  <si>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</si>
  <si>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</si>
  <si>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</si>
  <si>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</si>
  <si>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</si>
  <si>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</si>
  <si>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</si>
  <si>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</si>
  <si>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</si>
  <si>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</si>
  <si>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</si>
  <si>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</si>
  <si>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</si>
  <si>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</si>
  <si>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</si>
  <si>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</si>
  <si>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</si>
  <si>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</si>
  <si>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</si>
  <si>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</si>
  <si>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</si>
  <si>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</si>
  <si>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</si>
  <si>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</si>
  <si>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</si>
  <si>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</si>
  <si>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</si>
  <si>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</si>
  <si>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</si>
  <si>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</si>
  <si>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</si>
  <si>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</si>
  <si>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</si>
  <si>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</si>
  <si>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</si>
  <si>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</si>
  <si>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</si>
  <si>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</si>
  <si>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</si>
  <si>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</si>
  <si>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</si>
  <si>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</si>
  <si>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</si>
  <si>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</si>
  <si>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</si>
  <si>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</si>
  <si>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</si>
  <si>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</si>
  <si>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</si>
  <si>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</si>
  <si>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</si>
  <si>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</si>
  <si>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</si>
  <si>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</si>
  <si>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</si>
  <si>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</si>
  <si>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</si>
  <si>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</si>
  <si>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</si>
  <si>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</si>
  <si>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</si>
  <si>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</si>
  <si>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</si>
  <si>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</si>
  <si>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</si>
  <si>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</si>
  <si>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</si>
  <si>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</si>
  <si>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</si>
  <si>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</si>
  <si>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</si>
  <si>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</si>
  <si>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</si>
  <si>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</si>
  <si>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</si>
  <si>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</si>
  <si>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</si>
  <si>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</si>
  <si>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</si>
  <si>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</si>
  <si>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</si>
  <si>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</si>
  <si>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</si>
  <si>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</si>
  <si>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</si>
  <si>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</si>
  <si>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</si>
  <si>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</si>
  <si>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</si>
  <si>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</si>
  <si>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</si>
  <si>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</si>
  <si>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</si>
  <si>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</si>
  <si>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</si>
  <si>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</si>
  <si>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</si>
  <si>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</si>
  <si>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</si>
  <si>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</si>
  <si>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</si>
  <si>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</si>
  <si>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</si>
  <si>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</si>
  <si>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</si>
  <si>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</si>
  <si>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</si>
  <si>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</si>
  <si>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</si>
  <si>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</si>
  <si>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</si>
  <si>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</si>
  <si>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</si>
  <si>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</si>
  <si>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</si>
  <si>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</si>
  <si>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</si>
  <si>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</si>
  <si>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</si>
  <si>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</si>
  <si>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</si>
  <si>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</si>
  <si>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</si>
  <si>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</si>
  <si>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</si>
  <si>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</si>
  <si>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</si>
  <si>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</si>
  <si>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</si>
  <si>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</si>
  <si>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</si>
  <si>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</si>
  <si>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</si>
  <si>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</si>
  <si>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</si>
  <si>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</si>
  <si>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</si>
  <si>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</si>
  <si>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</si>
  <si>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</si>
  <si>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</si>
  <si>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</si>
  <si>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</si>
  <si>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</si>
  <si>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</si>
  <si>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</si>
  <si>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</si>
  <si>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</si>
  <si>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</si>
  <si>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</si>
  <si>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</si>
  <si>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</si>
  <si>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</si>
  <si>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</si>
  <si>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</si>
  <si>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</si>
  <si>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</si>
  <si>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</si>
  <si>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</si>
  <si>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</si>
  <si>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</si>
  <si>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</si>
  <si>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</si>
  <si>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</si>
  <si>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</si>
  <si>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</si>
  <si>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</si>
  <si>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</si>
  <si>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</si>
  <si>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</si>
  <si>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</si>
  <si>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</si>
  <si>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</si>
  <si>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</si>
  <si>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</si>
  <si>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</si>
  <si>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</si>
  <si>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</si>
  <si>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</si>
  <si>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</si>
  <si>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</si>
  <si>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</si>
  <si>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</si>
  <si>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</si>
  <si>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</si>
  <si>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</si>
  <si>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</si>
  <si>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</si>
  <si>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</si>
  <si>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</si>
  <si>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</si>
  <si>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</si>
  <si>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</si>
  <si>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</si>
  <si>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</si>
  <si>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</si>
  <si>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</si>
  <si>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</si>
  <si>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</si>
  <si>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</si>
  <si>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</si>
  <si>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</si>
  <si>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</si>
  <si>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</si>
  <si>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</si>
  <si>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</si>
  <si>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</si>
  <si>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</si>
  <si>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</si>
  <si>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</si>
  <si>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</si>
  <si>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</si>
  <si>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</si>
  <si>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</si>
  <si>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</si>
  <si>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</si>
  <si>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</si>
  <si>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</si>
  <si>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</si>
  <si>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</si>
  <si>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</si>
  <si>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</si>
  <si>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</si>
  <si>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</si>
  <si>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</si>
  <si>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</si>
  <si>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</si>
  <si>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</si>
  <si>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</si>
  <si>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</si>
  <si>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</si>
  <si>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</si>
  <si>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</si>
  <si>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</si>
  <si>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</si>
  <si>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</si>
  <si>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</si>
  <si>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</si>
  <si>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</si>
  <si>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</si>
  <si>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</si>
  <si>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</si>
  <si>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</si>
  <si>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</si>
  <si>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</si>
  <si>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</si>
  <si>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</si>
  <si>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</si>
  <si>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</si>
  <si>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</si>
  <si>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</si>
  <si>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</si>
  <si>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</si>
  <si>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</si>
  <si>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</si>
  <si>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</si>
  <si>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</si>
  <si>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</si>
  <si>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</si>
  <si>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</si>
  <si>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</si>
  <si>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</si>
  <si>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</si>
  <si>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</si>
  <si>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</si>
  <si>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</si>
  <si>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</si>
  <si>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</si>
  <si>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</si>
  <si>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</si>
  <si>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</si>
  <si>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</si>
  <si>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</si>
  <si>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</si>
  <si>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</si>
  <si>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</si>
  <si>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</si>
  <si>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</si>
  <si>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</si>
  <si>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</si>
  <si>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</si>
  <si>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</si>
  <si>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</si>
  <si>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</si>
  <si>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</si>
  <si>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</si>
  <si>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</si>
  <si>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</si>
  <si>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</si>
  <si>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</si>
  <si>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</si>
  <si>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</si>
  <si>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</si>
  <si>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</si>
  <si>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</si>
  <si>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</si>
  <si>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</si>
  <si>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</si>
  <si>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</si>
  <si>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</si>
  <si>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</si>
  <si>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</si>
  <si>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</si>
  <si>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</si>
  <si>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</si>
  <si>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</si>
  <si>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</si>
  <si>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</si>
  <si>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</si>
  <si>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</si>
  <si>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</si>
  <si>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</si>
  <si>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</si>
  <si>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</si>
  <si>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</si>
  <si>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</si>
  <si>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</si>
  <si>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</si>
  <si>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</si>
  <si>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</si>
  <si>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</si>
  <si>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</si>
  <si>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</si>
  <si>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</si>
  <si>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</si>
  <si>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</si>
  <si>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</si>
  <si>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</si>
  <si>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</si>
  <si>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</si>
  <si>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</si>
  <si>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</si>
  <si>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</si>
  <si>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</si>
  <si>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</si>
  <si>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</si>
  <si>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</si>
  <si>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</si>
  <si>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</si>
  <si>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</si>
  <si>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</si>
  <si>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</si>
  <si>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</si>
  <si>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</si>
  <si>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</si>
  <si>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</si>
  <si>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</si>
  <si>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</si>
  <si>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</si>
  <si>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</si>
  <si>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</si>
  <si>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</si>
  <si>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</si>
  <si>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</si>
  <si>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</si>
  <si>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</si>
  <si>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</si>
  <si>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</si>
  <si>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</si>
  <si>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</si>
  <si>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</si>
  <si>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</si>
  <si>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</si>
  <si>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</si>
  <si>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</si>
  <si>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</si>
  <si>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</si>
  <si>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</si>
  <si>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</si>
  <si>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</si>
  <si>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</si>
  <si>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</si>
  <si>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</si>
  <si>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</si>
  <si>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</si>
  <si>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</si>
  <si>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</si>
  <si>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</si>
  <si>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</si>
  <si>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</si>
  <si>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</si>
  <si>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</si>
  <si>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</si>
  <si>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</si>
  <si>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</si>
  <si>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</si>
  <si>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</si>
  <si>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</si>
  <si>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</si>
  <si>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</si>
  <si>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</si>
  <si>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</si>
  <si>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</si>
  <si>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</si>
  <si>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</si>
  <si>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</si>
  <si>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</si>
  <si>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</si>
  <si>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</si>
  <si>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</si>
  <si>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</si>
  <si>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</si>
  <si>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</si>
  <si>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</si>
  <si>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</si>
  <si>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</si>
  <si>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</si>
  <si>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</si>
  <si>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</si>
  <si>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</si>
  <si>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</si>
  <si>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</si>
  <si>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</si>
  <si>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</si>
  <si>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</si>
  <si>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</si>
  <si>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</si>
  <si>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</si>
  <si>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</si>
  <si>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</si>
  <si>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</si>
  <si>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</si>
  <si>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</si>
  <si>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</si>
  <si>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</si>
  <si>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</si>
  <si>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</si>
  <si>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</si>
  <si>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</si>
  <si>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</si>
  <si>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</si>
  <si>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</si>
  <si>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</si>
  <si>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</si>
  <si>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</si>
  <si>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</si>
  <si>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</si>
  <si>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</si>
  <si>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</si>
  <si>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</si>
  <si>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</si>
  <si>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</si>
  <si>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</si>
  <si>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</si>
  <si>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</si>
  <si>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</si>
  <si>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</si>
  <si>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</si>
  <si>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</si>
  <si>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</si>
  <si>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</si>
  <si>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</si>
  <si>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</si>
  <si>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</si>
  <si>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</si>
  <si>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</si>
  <si>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</si>
  <si>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</si>
  <si>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</si>
  <si>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</si>
  <si>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</si>
  <si>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</si>
  <si>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</si>
  <si>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</si>
  <si>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</si>
  <si>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</si>
  <si>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</si>
  <si>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</si>
  <si>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</si>
  <si>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</si>
  <si>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</si>
  <si>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</si>
  <si>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</si>
  <si>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</si>
  <si>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</si>
  <si>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</si>
  <si>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</si>
  <si>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</si>
  <si>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</si>
  <si>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</si>
  <si>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</si>
  <si>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</si>
  <si>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</si>
  <si>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</si>
  <si>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</si>
  <si>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</si>
  <si>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</si>
  <si>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</si>
  <si>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</si>
  <si>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</si>
  <si>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</si>
  <si>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</si>
  <si>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</si>
  <si>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</si>
  <si>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</si>
  <si>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</si>
  <si>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</si>
  <si>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</si>
  <si>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</si>
  <si>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</si>
  <si>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</si>
  <si>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</si>
  <si>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</si>
  <si>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</si>
  <si>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</si>
  <si>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</si>
  <si>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</si>
  <si>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</si>
  <si>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</si>
  <si>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</si>
  <si>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</si>
  <si>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</si>
  <si>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</si>
  <si>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</si>
  <si>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</si>
  <si>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</si>
  <si>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</si>
  <si>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</si>
  <si>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</si>
  <si>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</si>
  <si>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</si>
  <si>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</si>
  <si>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</si>
  <si>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</si>
  <si>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</si>
  <si>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</si>
  <si>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</si>
  <si>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</si>
  <si>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</si>
  <si>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</si>
  <si>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</si>
  <si>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</si>
  <si>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</si>
  <si>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</si>
  <si>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</si>
  <si>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</si>
  <si>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</si>
  <si>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</si>
  <si>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</si>
  <si>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</si>
  <si>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</si>
  <si>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</si>
  <si>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</si>
  <si>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</si>
  <si>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</si>
  <si>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</si>
  <si>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</si>
  <si>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</si>
  <si>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</si>
  <si>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</si>
  <si>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</si>
  <si>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</si>
  <si>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</si>
  <si>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</si>
  <si>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</si>
  <si>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</si>
  <si>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</si>
  <si>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</si>
  <si>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</si>
  <si>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</si>
  <si>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</si>
  <si>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</si>
  <si>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</si>
  <si>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</si>
  <si>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</si>
  <si>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</si>
  <si>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</si>
  <si>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</si>
  <si>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</si>
  <si>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</si>
  <si>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</si>
  <si>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</si>
  <si>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</si>
  <si>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</si>
  <si>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</si>
  <si>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</si>
  <si>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</si>
  <si>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</si>
  <si>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</si>
  <si>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</si>
  <si>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</si>
  <si>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</si>
  <si>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</si>
  <si>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</si>
  <si>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</si>
  <si>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</si>
  <si>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</si>
  <si>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</si>
  <si>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</si>
  <si>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</si>
  <si>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</si>
  <si>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</si>
  <si>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</si>
  <si>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</si>
  <si>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</si>
  <si>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</si>
  <si>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</si>
  <si>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</si>
  <si>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</si>
  <si>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</si>
  <si>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</si>
  <si>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</si>
  <si>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</si>
  <si>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</si>
  <si>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</si>
  <si>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</si>
  <si>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</si>
  <si>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</si>
  <si>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</si>
  <si>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</si>
  <si>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</si>
  <si>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</si>
  <si>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</si>
  <si>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</si>
  <si>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</si>
  <si>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</si>
  <si>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</si>
  <si>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</si>
  <si>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</si>
  <si>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</si>
  <si>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</si>
  <si>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</si>
  <si>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</si>
  <si>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</si>
  <si>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</si>
  <si>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</si>
  <si>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</si>
  <si>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</si>
  <si>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</si>
  <si>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</si>
  <si>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</si>
  <si>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</si>
  <si>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</si>
  <si>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</si>
  <si>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</si>
  <si>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</si>
  <si>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</si>
  <si>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</si>
  <si>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</si>
  <si>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</si>
  <si>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</si>
  <si>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</si>
  <si>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</si>
  <si>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</si>
  <si>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</si>
  <si>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</si>
  <si>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</si>
  <si>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</si>
  <si>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</si>
  <si>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</si>
  <si>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</si>
  <si>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</si>
  <si>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</si>
  <si>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</si>
  <si>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</si>
  <si>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</si>
  <si>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</si>
  <si>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</si>
  <si>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</si>
  <si>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</si>
  <si>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</si>
  <si>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</si>
  <si>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</si>
  <si>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</si>
  <si>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</si>
  <si>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</si>
  <si>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</si>
  <si>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</si>
  <si>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</si>
  <si>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</si>
  <si>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</si>
  <si>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</si>
  <si>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</si>
  <si>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</si>
  <si>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</si>
  <si>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</si>
  <si>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</si>
  <si>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</si>
  <si>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</si>
  <si>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</si>
  <si>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</si>
  <si>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</si>
  <si>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</si>
  <si>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</si>
  <si>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</si>
  <si>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</si>
  <si>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</si>
  <si>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</si>
  <si>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</si>
  <si>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</si>
  <si>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</si>
  <si>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</si>
  <si>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</si>
  <si>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</si>
  <si>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</si>
  <si>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</si>
  <si>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</si>
  <si>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</si>
  <si>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</si>
  <si>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</si>
  <si>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</si>
  <si>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</si>
  <si>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</si>
  <si>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</si>
  <si>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</si>
  <si>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</si>
  <si>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</si>
  <si>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</si>
  <si>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</si>
  <si>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</si>
  <si>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</si>
  <si>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</si>
  <si>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</si>
  <si>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</si>
  <si>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</si>
  <si>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</si>
  <si>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</si>
  <si>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</si>
  <si>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</si>
  <si>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</si>
  <si>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</si>
  <si>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</si>
  <si>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</si>
  <si>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</si>
  <si>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</si>
  <si>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</si>
  <si>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</si>
  <si>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</si>
  <si>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</si>
  <si>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</si>
  <si>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</si>
  <si>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</si>
  <si>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</si>
  <si>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</si>
  <si>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</si>
  <si>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</si>
  <si>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</si>
  <si>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</si>
  <si>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</si>
  <si>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</si>
  <si>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</si>
  <si>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</si>
  <si>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</si>
  <si>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</si>
  <si>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</si>
  <si>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</si>
  <si>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</si>
  <si>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</si>
  <si>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</si>
  <si>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</si>
  <si>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</si>
  <si>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</si>
  <si>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</si>
  <si>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</si>
  <si>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</si>
  <si>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</si>
  <si>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</si>
  <si>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</si>
  <si>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</si>
  <si>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</si>
  <si>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</si>
  <si>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</si>
  <si>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</si>
  <si>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</si>
  <si>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</si>
  <si>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</si>
  <si>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</si>
  <si>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</si>
  <si>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</si>
  <si>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</si>
  <si>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</si>
  <si>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</si>
  <si>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</si>
  <si>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</si>
  <si>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</si>
  <si>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</si>
  <si>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</si>
  <si>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</si>
  <si>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</si>
  <si>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</si>
  <si>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</si>
  <si>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</si>
  <si>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</si>
  <si>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</si>
  <si>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</si>
  <si>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</si>
  <si>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</si>
  <si>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</si>
  <si>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</si>
  <si>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</si>
  <si>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</si>
  <si>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</si>
  <si>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</si>
  <si>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</si>
  <si>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</si>
  <si>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</si>
  <si>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</si>
  <si>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</si>
  <si>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</si>
  <si>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</si>
  <si>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</si>
  <si>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</si>
  <si>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</si>
  <si>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</si>
  <si>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</si>
  <si>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</si>
  <si>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</si>
  <si>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</si>
  <si>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</si>
  <si>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</si>
  <si>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</si>
  <si>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</si>
  <si>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</si>
  <si>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</si>
  <si>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</si>
  <si>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</si>
  <si>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</si>
  <si>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</si>
  <si>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</si>
  <si>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</si>
  <si>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</si>
  <si>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</si>
  <si>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</si>
  <si>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</si>
  <si>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</si>
  <si>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</si>
  <si>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</si>
  <si>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</si>
  <si>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</si>
  <si>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</si>
  <si>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</si>
  <si>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</si>
  <si>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</si>
  <si>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</si>
  <si>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</si>
  <si>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</si>
  <si>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</si>
  <si>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</si>
  <si>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</si>
  <si>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</si>
  <si>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</si>
  <si>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</si>
  <si>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</si>
  <si>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</si>
  <si>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</si>
  <si>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</si>
  <si>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</si>
  <si>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</si>
  <si>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</si>
  <si>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</si>
  <si>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</si>
  <si>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</si>
  <si>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</si>
  <si>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</si>
  <si>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</si>
  <si>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</si>
  <si>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</si>
  <si>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</si>
  <si>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</si>
  <si>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</si>
  <si>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</si>
  <si>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</si>
  <si>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</si>
  <si>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</si>
  <si>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</si>
  <si>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</si>
  <si>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</si>
  <si>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</si>
  <si>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</si>
  <si>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</si>
  <si>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</si>
  <si>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</si>
  <si>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</si>
  <si>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</si>
  <si>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</si>
  <si>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</si>
  <si>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</si>
  <si>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</si>
  <si>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</si>
  <si>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</si>
  <si>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</si>
  <si>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</si>
  <si>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</si>
  <si>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</si>
  <si>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</si>
  <si>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</si>
  <si>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</si>
  <si>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</si>
  <si>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</si>
  <si>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</si>
  <si>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</si>
  <si>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</si>
  <si>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</si>
  <si>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</si>
  <si>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</si>
  <si>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</si>
  <si>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</si>
  <si>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</si>
  <si>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</si>
  <si>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</si>
  <si>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</si>
  <si>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</si>
  <si>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</si>
  <si>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</si>
  <si>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</si>
  <si>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</si>
  <si>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</si>
  <si>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</si>
  <si>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</si>
  <si>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</si>
  <si>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</si>
  <si>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</si>
  <si>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</si>
  <si>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</si>
  <si>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</si>
  <si>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</si>
  <si>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</si>
  <si>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</si>
  <si>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</si>
  <si>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</si>
  <si>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</si>
  <si>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</si>
  <si>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</si>
  <si>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</si>
  <si>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</si>
  <si>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</si>
  <si>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</si>
  <si>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</si>
  <si>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</si>
  <si>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</si>
  <si>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</si>
  <si>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</si>
  <si>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</si>
  <si>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</si>
  <si>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</si>
  <si>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</si>
  <si>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</si>
  <si>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</si>
  <si>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</si>
  <si>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</si>
  <si>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</si>
  <si>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</si>
  <si>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</si>
  <si>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</si>
  <si>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</si>
  <si>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</si>
  <si>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</si>
  <si>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</si>
  <si>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</si>
  <si>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</si>
  <si>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</si>
  <si>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</si>
  <si>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</si>
  <si>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</si>
  <si>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</si>
  <si>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</si>
  <si>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</si>
  <si>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</si>
  <si>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</si>
  <si>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</si>
  <si>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</si>
  <si>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</si>
  <si>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</si>
  <si>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</si>
  <si>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</si>
  <si>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</si>
  <si>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</si>
  <si>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</si>
  <si>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</si>
  <si>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</si>
  <si>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</si>
  <si>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</si>
  <si>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</si>
  <si>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</si>
  <si>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</si>
  <si>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</si>
  <si>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</si>
  <si>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</si>
  <si>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</si>
  <si>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</si>
  <si>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</si>
  <si>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</si>
  <si>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</si>
  <si>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</si>
  <si>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</si>
  <si>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</si>
  <si>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</si>
  <si>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</si>
  <si>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</si>
  <si>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</si>
  <si>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</si>
  <si>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</si>
  <si>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</si>
  <si>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</si>
  <si>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</si>
  <si>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</si>
  <si>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</si>
  <si>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</si>
  <si>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</si>
  <si>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</si>
  <si>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</si>
  <si>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</si>
  <si>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</si>
  <si>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</si>
  <si>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</si>
  <si>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</si>
  <si>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</si>
  <si>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</si>
  <si>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</si>
  <si>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</si>
  <si>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</si>
  <si>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</si>
  <si>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</si>
  <si>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</si>
  <si>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</si>
  <si>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</si>
  <si>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</si>
  <si>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</si>
  <si>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</si>
  <si>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</si>
  <si>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</si>
  <si>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</si>
  <si>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</si>
  <si>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</si>
  <si>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</si>
  <si>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</si>
  <si>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</si>
  <si>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</si>
  <si>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</si>
  <si>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</si>
  <si>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</si>
  <si>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</si>
  <si>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</si>
  <si>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</si>
  <si>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</si>
  <si>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</si>
  <si>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</si>
  <si>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</si>
  <si>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</si>
  <si>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</si>
  <si>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</si>
  <si>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</si>
  <si>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</si>
  <si>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</si>
  <si>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</si>
  <si>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</si>
  <si>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</si>
  <si>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</si>
  <si>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</si>
  <si>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</si>
  <si>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</si>
  <si>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</si>
  <si>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</si>
  <si>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</si>
  <si>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</si>
  <si>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</si>
  <si>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</si>
  <si>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</si>
  <si>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</si>
  <si>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</si>
  <si>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</si>
  <si>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</si>
  <si>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</si>
  <si>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</si>
  <si>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</si>
  <si>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</si>
  <si>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</si>
  <si>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</si>
  <si>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</si>
  <si>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</si>
  <si>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</si>
  <si>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</si>
  <si>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</si>
  <si>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</si>
  <si>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</si>
  <si>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</si>
  <si>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</si>
  <si>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</si>
  <si>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</si>
  <si>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</si>
  <si>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</si>
  <si>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</si>
  <si>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</si>
  <si>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</si>
  <si>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</si>
  <si>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</si>
  <si>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</si>
  <si>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</si>
  <si>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</si>
  <si>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</si>
  <si>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</si>
  <si>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</si>
  <si>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</si>
  <si>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</si>
  <si>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</si>
  <si>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</si>
  <si>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</si>
  <si>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</si>
  <si>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</si>
  <si>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</si>
  <si>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</si>
  <si>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</si>
  <si>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</si>
  <si>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</si>
  <si>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</si>
  <si>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</si>
  <si>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</si>
  <si>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</si>
  <si>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</si>
  <si>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</si>
  <si>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</si>
  <si>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</si>
  <si>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</si>
  <si>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</si>
  <si>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</si>
  <si>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</si>
  <si>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</si>
  <si>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</si>
  <si>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</si>
  <si>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</si>
  <si>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</si>
  <si>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</si>
  <si>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</si>
  <si>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</si>
  <si>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</si>
  <si>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</si>
  <si>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</si>
  <si>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</si>
  <si>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</si>
  <si>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</si>
  <si>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</si>
  <si>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</si>
  <si>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</si>
  <si>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</si>
  <si>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</si>
  <si>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</si>
  <si>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</si>
  <si>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</si>
  <si>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</si>
  <si>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</si>
  <si>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</si>
  <si>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</si>
  <si>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</si>
  <si>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</si>
  <si>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</si>
  <si>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</si>
  <si>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</si>
  <si>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</si>
  <si>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</si>
  <si>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</si>
  <si>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</si>
  <si>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</si>
  <si>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</si>
  <si>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</si>
  <si>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</si>
  <si>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</si>
  <si>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</si>
  <si>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</si>
  <si>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</si>
  <si>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</si>
  <si>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</si>
  <si>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</si>
  <si>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</si>
  <si>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</si>
  <si>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</si>
  <si>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</si>
  <si>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</si>
  <si>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</si>
  <si>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</si>
  <si>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</si>
  <si>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</si>
  <si>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</si>
  <si>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</si>
  <si>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</si>
  <si>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</si>
  <si>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</si>
  <si>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</si>
  <si>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</si>
  <si>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</si>
  <si>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</si>
  <si>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</si>
  <si>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</si>
  <si>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</si>
  <si>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</si>
  <si>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</si>
  <si>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</si>
  <si>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</si>
  <si>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</si>
  <si>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</si>
  <si>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</si>
  <si>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</si>
  <si>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</si>
  <si>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</si>
  <si>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</si>
  <si>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</si>
  <si>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</si>
  <si>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</si>
  <si>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</si>
  <si>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</si>
  <si>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</si>
  <si>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</si>
  <si>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</si>
  <si>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</si>
  <si>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</si>
  <si>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</si>
  <si>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</si>
  <si>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</si>
  <si>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</si>
  <si>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</si>
  <si>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</si>
  <si>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</si>
  <si>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</si>
  <si>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</si>
  <si>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</si>
  <si>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</si>
  <si>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</si>
  <si>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</si>
  <si>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</si>
  <si>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</si>
  <si>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</si>
  <si>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</si>
  <si>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</si>
  <si>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</si>
  <si>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</si>
  <si>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</si>
  <si>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</si>
  <si>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</si>
  <si>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</si>
  <si>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</si>
  <si>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</si>
  <si>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</si>
  <si>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</si>
  <si>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</si>
  <si>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</si>
  <si>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</si>
  <si>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</si>
  <si>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</si>
  <si>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</si>
  <si>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</si>
  <si>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</si>
  <si>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</si>
  <si>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</si>
  <si>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</si>
  <si>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</si>
  <si>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</si>
  <si>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</si>
  <si>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</si>
  <si>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</si>
  <si>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</si>
  <si>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</si>
  <si>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</si>
  <si>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</si>
  <si>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</si>
  <si>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</si>
  <si>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</si>
  <si>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</si>
  <si>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</si>
  <si>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</si>
  <si>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</si>
  <si>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</si>
  <si>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</si>
  <si>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</si>
  <si>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</si>
  <si>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</si>
  <si>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</si>
  <si>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</si>
  <si>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</si>
  <si>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</si>
  <si>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</si>
  <si>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</si>
  <si>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</si>
  <si>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</si>
  <si>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</si>
  <si>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</si>
  <si>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</si>
  <si>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</si>
  <si>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</si>
  <si>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</si>
  <si>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</si>
  <si>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</si>
  <si>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</si>
  <si>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</si>
  <si>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</si>
  <si>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</si>
  <si>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</si>
  <si>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</si>
  <si>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</si>
  <si>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</si>
  <si>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</si>
  <si>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</si>
  <si>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</si>
  <si>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</si>
  <si>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</si>
  <si>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</si>
  <si>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</si>
  <si>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</si>
  <si>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</si>
  <si>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</si>
  <si>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</si>
  <si>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</si>
  <si>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</si>
  <si>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</si>
  <si>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</si>
  <si>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</si>
  <si>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</si>
  <si>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</si>
  <si>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</si>
  <si>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</si>
  <si>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</si>
  <si>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</si>
  <si>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</si>
  <si>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</si>
  <si>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</si>
  <si>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</si>
  <si>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</si>
  <si>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</si>
  <si>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</si>
  <si>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</si>
  <si>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</si>
  <si>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</si>
  <si>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</si>
  <si>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</si>
  <si>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</si>
  <si>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</si>
  <si>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</si>
  <si>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</si>
  <si>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</si>
  <si>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</si>
  <si>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</si>
  <si>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</si>
  <si>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</si>
  <si>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</si>
  <si>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</si>
  <si>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</si>
  <si>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</si>
  <si>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</si>
  <si>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</si>
  <si>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</si>
  <si>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</si>
  <si>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</si>
  <si>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</si>
  <si>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</si>
  <si>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</si>
  <si>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</si>
  <si>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</si>
  <si>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</si>
  <si>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</si>
  <si>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</si>
  <si>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</si>
  <si>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</si>
  <si>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</si>
  <si>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</si>
  <si>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</si>
  <si>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</si>
  <si>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</si>
  <si>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</si>
  <si>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</si>
  <si>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</si>
  <si>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</si>
  <si>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</si>
  <si>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</si>
  <si>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</si>
  <si>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</si>
  <si>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</si>
  <si>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</si>
  <si>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</si>
  <si>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</si>
  <si>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</si>
  <si>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</si>
  <si>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</si>
  <si>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</si>
  <si>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</si>
  <si>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</si>
  <si>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</si>
  <si>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</si>
  <si>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</si>
  <si>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</si>
  <si>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</si>
  <si>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</si>
  <si>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</si>
  <si>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</si>
  <si>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</si>
  <si>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</si>
  <si>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</si>
  <si>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</si>
  <si>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</si>
  <si>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</si>
  <si>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</si>
  <si>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</si>
  <si>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</si>
  <si>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</si>
  <si>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</si>
  <si>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</si>
  <si>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</si>
  <si>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</si>
  <si>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</si>
  <si>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</si>
  <si>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</si>
  <si>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</si>
  <si>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</si>
  <si>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</si>
  <si>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</si>
  <si>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</si>
  <si>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</si>
  <si>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</si>
  <si>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</si>
  <si>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</si>
  <si>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</si>
  <si>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</si>
  <si>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</si>
  <si>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</si>
  <si>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</si>
  <si>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</si>
  <si>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</si>
  <si>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</si>
  <si>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</si>
  <si>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</si>
  <si>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</si>
  <si>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</si>
  <si>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</si>
  <si>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</si>
  <si>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</si>
  <si>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</si>
  <si>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</si>
  <si>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</si>
  <si>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</si>
  <si>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</si>
  <si>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</si>
  <si>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</si>
  <si>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</si>
  <si>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</si>
  <si>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</si>
  <si>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</si>
  <si>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</si>
  <si>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</si>
  <si>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</si>
  <si>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</si>
  <si>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</si>
  <si>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</si>
  <si>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</si>
  <si>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</si>
  <si>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</si>
  <si>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</si>
  <si>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</si>
  <si>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</si>
  <si>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</si>
  <si>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</si>
  <si>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</si>
  <si>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</si>
  <si>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</si>
  <si>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</si>
  <si>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</si>
  <si>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</si>
  <si>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</si>
  <si>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</si>
  <si>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</si>
  <si>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</si>
  <si>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</si>
  <si>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</si>
  <si>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</si>
  <si>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</si>
  <si>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</si>
  <si>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</si>
  <si>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</si>
  <si>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</si>
  <si>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</si>
  <si>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</si>
  <si>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</si>
  <si>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</si>
  <si>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</si>
  <si>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</si>
  <si>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</si>
  <si>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</si>
  <si>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</si>
  <si>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</si>
  <si>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</si>
  <si>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</si>
  <si>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</si>
  <si>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</si>
  <si>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</si>
  <si>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</si>
  <si>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</si>
  <si>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</si>
  <si>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</si>
  <si>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</si>
  <si>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</si>
  <si>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</si>
  <si>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</si>
  <si>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</si>
  <si>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</si>
  <si>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</si>
  <si>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</si>
  <si>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</si>
  <si>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</si>
  <si>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</si>
  <si>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</si>
  <si>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</si>
  <si>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</si>
  <si>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</si>
  <si>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</si>
  <si>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</si>
  <si>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</si>
  <si>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</si>
  <si>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</si>
  <si>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</si>
  <si>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</si>
  <si>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</si>
  <si>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</si>
  <si>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</si>
  <si>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</si>
  <si>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</si>
  <si>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</si>
  <si>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</si>
  <si>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</si>
  <si>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</si>
  <si>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</si>
  <si>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</si>
  <si>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</si>
  <si>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</si>
  <si>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</si>
  <si>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</si>
  <si>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</si>
  <si>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</si>
  <si>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</si>
  <si>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</si>
  <si>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</si>
  <si>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</si>
  <si>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</si>
  <si>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</si>
  <si>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</si>
  <si>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</si>
  <si>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</si>
  <si>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</si>
  <si>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</si>
  <si>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</si>
  <si>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</si>
  <si>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</si>
  <si>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</si>
  <si>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</si>
  <si>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</si>
  <si>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</si>
  <si>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</si>
  <si>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</si>
  <si>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</si>
  <si>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</si>
  <si>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</si>
  <si>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</si>
  <si>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</si>
  <si>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</si>
  <si>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</si>
  <si>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</si>
  <si>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</si>
  <si>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</si>
  <si>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</si>
  <si>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</si>
  <si>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</si>
  <si>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</si>
  <si>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</si>
  <si>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</si>
  <si>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</si>
  <si>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</si>
  <si>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</si>
  <si>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</si>
  <si>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</si>
  <si>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</si>
  <si>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</si>
  <si>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</si>
  <si>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</si>
  <si>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</si>
  <si>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</si>
  <si>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</si>
  <si>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</si>
  <si>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</si>
  <si>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</si>
  <si>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</si>
  <si>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</si>
  <si>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</si>
  <si>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</si>
  <si>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</si>
  <si>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</si>
  <si>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</si>
  <si>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</si>
  <si>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</si>
  <si>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</si>
  <si>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</si>
  <si>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</si>
  <si>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</si>
  <si>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</si>
  <si>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</si>
  <si>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</si>
  <si>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</si>
  <si>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</si>
  <si>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</si>
  <si>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</si>
  <si>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</si>
  <si>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</si>
  <si>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</si>
  <si>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</si>
  <si>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</si>
  <si>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</si>
  <si>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</si>
  <si>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</si>
  <si>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</si>
  <si>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</si>
  <si>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</si>
  <si>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</si>
  <si>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</si>
  <si>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</si>
  <si>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</si>
  <si>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</si>
  <si>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</si>
  <si>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</si>
  <si>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</si>
  <si>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</si>
  <si>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</si>
  <si>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</si>
  <si>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</si>
  <si>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</si>
  <si>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</si>
  <si>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</si>
  <si>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</si>
  <si>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</si>
  <si>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</si>
  <si>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</si>
  <si>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</si>
  <si>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</si>
  <si>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</si>
  <si>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</si>
  <si>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</si>
  <si>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</si>
  <si>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</si>
  <si>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</si>
  <si>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</si>
  <si>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</si>
  <si>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</si>
  <si>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</si>
  <si>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</si>
  <si>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</si>
  <si>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</si>
  <si>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</si>
  <si>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</si>
  <si>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</si>
  <si>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</si>
  <si>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</si>
  <si>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</si>
  <si>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</si>
  <si>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</si>
  <si>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</si>
  <si>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</si>
  <si>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</si>
  <si>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</si>
  <si>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</si>
  <si>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</si>
  <si>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</si>
  <si>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</si>
  <si>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</si>
  <si>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</si>
  <si>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</si>
  <si>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</si>
  <si>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</si>
  <si>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</si>
  <si>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</si>
  <si>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</si>
  <si>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</si>
  <si>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</si>
  <si>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</si>
  <si>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</si>
  <si>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</si>
  <si>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</si>
  <si>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</si>
  <si>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</si>
  <si>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</si>
  <si>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</si>
  <si>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</si>
  <si>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</si>
  <si>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</si>
  <si>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</si>
  <si>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</si>
  <si>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</si>
  <si>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</si>
  <si>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</si>
  <si>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</si>
  <si>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</si>
  <si>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</si>
  <si>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</si>
  <si>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</si>
  <si>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</si>
  <si>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</si>
  <si>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</si>
  <si>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</si>
  <si>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</si>
  <si>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</si>
  <si>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</si>
  <si>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</si>
  <si>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</si>
  <si>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</si>
  <si>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</si>
  <si>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</si>
  <si>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</si>
  <si>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</si>
  <si>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</si>
  <si>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</si>
  <si>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</si>
  <si>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</si>
  <si>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</si>
  <si>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</si>
  <si>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</si>
  <si>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</si>
  <si>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</si>
  <si>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</si>
  <si>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</si>
  <si>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</si>
  <si>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</si>
  <si>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</si>
  <si>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</si>
  <si>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</si>
  <si>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</si>
  <si>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</si>
  <si>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</si>
  <si>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</si>
  <si>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</si>
  <si>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</si>
  <si>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</si>
  <si>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</si>
  <si>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</si>
  <si>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</si>
  <si>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</si>
  <si>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</si>
  <si>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</si>
  <si>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</si>
  <si>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</si>
  <si>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</si>
  <si>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</si>
  <si>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</si>
  <si>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</si>
  <si>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</si>
  <si>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</si>
  <si>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</si>
  <si>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</si>
  <si>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</si>
  <si>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</si>
  <si>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</si>
  <si>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</si>
  <si>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</si>
  <si>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</si>
  <si>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</si>
  <si>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</si>
  <si>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</si>
  <si>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</si>
  <si>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</si>
  <si>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</si>
  <si>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</si>
  <si>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</si>
  <si>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</si>
  <si>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</si>
  <si>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</si>
  <si>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</si>
  <si>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</si>
  <si>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</si>
  <si>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</si>
  <si>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</si>
  <si>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</si>
  <si>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</si>
  <si>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</si>
  <si>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</si>
  <si>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</si>
  <si>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</si>
  <si>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</si>
  <si>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</si>
  <si>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</si>
  <si>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</si>
  <si>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</si>
  <si>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</si>
  <si>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</si>
  <si>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</si>
  <si>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</si>
  <si>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</si>
  <si>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</si>
  <si>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</si>
  <si>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</si>
  <si>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</si>
  <si>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</si>
  <si>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</si>
  <si>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</si>
  <si>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</si>
  <si>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</si>
  <si>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</si>
  <si>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</si>
  <si>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</si>
  <si>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</si>
  <si>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</si>
  <si>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</si>
  <si>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</si>
  <si>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</si>
  <si>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</si>
  <si>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</si>
  <si>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</si>
  <si>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</si>
  <si>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</si>
  <si>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</si>
  <si>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</si>
  <si>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</si>
  <si>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</si>
  <si>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</si>
  <si>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</si>
  <si>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</si>
  <si>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</si>
  <si>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</si>
  <si>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</si>
  <si>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</si>
  <si>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</si>
  <si>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</si>
  <si>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</si>
  <si>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</si>
  <si>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</si>
  <si>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</si>
  <si>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</si>
  <si>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</si>
  <si>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</si>
  <si>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</si>
  <si>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</si>
  <si>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</si>
  <si>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</si>
  <si>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</si>
  <si>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</si>
  <si>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</si>
  <si>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</si>
  <si>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</si>
  <si>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</si>
  <si>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</si>
  <si>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</si>
  <si>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</si>
  <si>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</si>
  <si>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</si>
  <si>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</si>
  <si>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</si>
  <si>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</si>
  <si>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</si>
  <si>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</si>
  <si>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</si>
  <si>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</si>
  <si>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</si>
  <si>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</si>
  <si>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</si>
  <si>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</si>
  <si>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</si>
  <si>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</si>
  <si>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</si>
  <si>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</si>
  <si>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</si>
  <si>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</si>
  <si>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</si>
  <si>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</si>
  <si>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</si>
  <si>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</si>
  <si>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</si>
  <si>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</si>
  <si>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</si>
  <si>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</si>
  <si>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</si>
  <si>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</si>
  <si>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</si>
  <si>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</si>
  <si>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</si>
  <si>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</si>
  <si>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</si>
  <si>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</si>
  <si>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</si>
  <si>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</si>
  <si>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</si>
  <si>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</si>
  <si>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</si>
  <si>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</si>
  <si>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</si>
  <si>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</si>
  <si>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</si>
  <si>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</si>
  <si>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</si>
  <si>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</si>
  <si>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</si>
  <si>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</si>
  <si>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</si>
  <si>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</si>
  <si>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</si>
  <si>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</si>
  <si>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</si>
  <si>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</si>
  <si>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</si>
  <si>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</si>
  <si>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</si>
  <si>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</si>
  <si>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</si>
  <si>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</si>
  <si>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</si>
  <si>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</si>
  <si>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</si>
  <si>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</si>
  <si>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</si>
  <si>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</si>
  <si>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</si>
  <si>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</si>
  <si>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</si>
  <si>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</si>
  <si>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</si>
  <si>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</si>
  <si>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</si>
  <si>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</si>
  <si>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</si>
  <si>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</si>
  <si>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</si>
  <si>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</si>
  <si>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</si>
  <si>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</si>
  <si>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</si>
  <si>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</si>
  <si>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</si>
  <si>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</si>
  <si>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</si>
  <si>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</si>
  <si>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</si>
  <si>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</si>
  <si>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</si>
  <si>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</si>
  <si>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</si>
  <si>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</si>
  <si>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</si>
  <si>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</si>
  <si>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</si>
  <si>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</si>
  <si>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</si>
  <si>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</si>
  <si>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</si>
  <si>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</si>
  <si>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</si>
  <si>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</si>
  <si>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</si>
  <si>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</si>
  <si>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</si>
  <si>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</si>
  <si>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</si>
  <si>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</si>
  <si>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</si>
  <si>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</si>
  <si>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</si>
  <si>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</si>
  <si>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</si>
  <si>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</si>
  <si>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</si>
  <si>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</si>
  <si>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</si>
  <si>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</si>
  <si>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</si>
  <si>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</si>
  <si>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</si>
  <si>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</si>
  <si>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</si>
  <si>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</si>
  <si>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</si>
  <si>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</si>
  <si>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</si>
  <si>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</si>
  <si>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</si>
  <si>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</si>
  <si>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</si>
  <si>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</si>
  <si>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</si>
  <si>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</si>
  <si>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</si>
  <si>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</si>
  <si>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</si>
  <si>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</si>
  <si>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</si>
  <si>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</si>
  <si>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</si>
  <si>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</si>
  <si>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</si>
  <si>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</si>
  <si>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</si>
  <si>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</si>
  <si>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</si>
  <si>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</si>
  <si>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</si>
  <si>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</si>
  <si>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</si>
  <si>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</si>
  <si>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</si>
  <si>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</si>
  <si>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</si>
  <si>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</si>
  <si>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</si>
  <si>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</si>
  <si>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</si>
  <si>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</si>
  <si>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</si>
  <si>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</si>
  <si>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</si>
  <si>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</si>
  <si>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</si>
  <si>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</si>
  <si>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</si>
  <si>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</si>
  <si>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</si>
  <si>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</si>
  <si>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</si>
  <si>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</si>
  <si>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</si>
  <si>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</si>
  <si>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</si>
  <si>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</si>
  <si>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</si>
  <si>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</si>
  <si>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</si>
  <si>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</si>
  <si>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</si>
  <si>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</si>
  <si>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</si>
  <si>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</si>
  <si>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</si>
  <si>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</si>
  <si>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</si>
  <si>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</si>
  <si>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</si>
  <si>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</si>
  <si>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</si>
  <si>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</si>
  <si>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</si>
  <si>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</si>
  <si>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</si>
  <si>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</si>
  <si>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</si>
  <si>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</si>
  <si>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</si>
  <si>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</si>
  <si>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</si>
  <si>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</si>
  <si>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</si>
  <si>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</si>
  <si>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</si>
  <si>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</si>
  <si>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</si>
  <si>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</si>
  <si>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</si>
  <si>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</si>
  <si>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</si>
  <si>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</si>
  <si>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</si>
  <si>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</si>
  <si>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</si>
  <si>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</si>
  <si>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</si>
  <si>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</si>
  <si>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</si>
  <si>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</si>
  <si>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</si>
  <si>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</si>
  <si>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</si>
  <si>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</si>
  <si>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</si>
  <si>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</si>
  <si>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</si>
  <si>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</si>
  <si>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</si>
  <si>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</si>
  <si>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</si>
  <si>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</si>
  <si>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</si>
  <si>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</si>
  <si>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</si>
  <si>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</si>
  <si>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</si>
  <si>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</si>
  <si>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</si>
  <si>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</si>
  <si>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</si>
  <si>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</si>
  <si>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</si>
  <si>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</si>
  <si>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</si>
  <si>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</si>
  <si>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</si>
  <si>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</si>
  <si>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</si>
  <si>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</si>
  <si>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</si>
  <si>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</si>
  <si>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</si>
  <si>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</si>
  <si>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</si>
  <si>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</si>
  <si>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</si>
  <si>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</si>
  <si>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</si>
  <si>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</si>
  <si>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</si>
  <si>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</si>
  <si>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</si>
  <si>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</si>
  <si>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</si>
  <si>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</si>
  <si>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</si>
  <si>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</si>
  <si>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</si>
  <si>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</si>
  <si>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</si>
  <si>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</si>
  <si>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</si>
  <si>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</si>
  <si>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</si>
  <si>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</si>
  <si>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</si>
  <si>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</si>
  <si>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</si>
  <si>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</si>
  <si>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</si>
  <si>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</si>
  <si>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</si>
  <si>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</si>
  <si>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</si>
  <si>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</si>
  <si>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</si>
  <si>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</si>
  <si>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</si>
  <si>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</si>
  <si>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</si>
  <si>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</si>
  <si>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</si>
  <si>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</si>
  <si>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</si>
  <si>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</si>
  <si>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</si>
  <si>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</si>
  <si>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</si>
  <si>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</si>
  <si>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</si>
  <si>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</si>
  <si>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</si>
  <si>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</si>
  <si>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</si>
  <si>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</si>
  <si>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</si>
  <si>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</si>
  <si>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</si>
  <si>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</si>
  <si>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</si>
  <si>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</si>
  <si>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</si>
  <si>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</si>
  <si>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</si>
  <si>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</si>
  <si>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</si>
  <si>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</si>
  <si>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</si>
  <si>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</si>
  <si>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</si>
  <si>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</si>
  <si>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</si>
  <si>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</si>
  <si>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</si>
  <si>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</si>
  <si>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</si>
  <si>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</si>
  <si>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</si>
  <si>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</si>
  <si>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</si>
  <si>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</si>
  <si>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</si>
  <si>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</si>
  <si>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</si>
  <si>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</si>
  <si>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</si>
  <si>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</si>
  <si>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</si>
  <si>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</si>
  <si>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</si>
  <si>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</si>
  <si>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</si>
  <si>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</si>
  <si>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</si>
  <si>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</si>
  <si>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</si>
  <si>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</si>
  <si>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</si>
  <si>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</si>
  <si>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</si>
  <si>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</si>
  <si>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</si>
  <si>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</si>
  <si>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</si>
  <si>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</si>
  <si>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</si>
  <si>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</si>
  <si>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</si>
  <si>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</si>
  <si>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</si>
  <si>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</si>
  <si>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</si>
  <si>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</si>
  <si>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</si>
  <si>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</si>
  <si>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</si>
  <si>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</si>
  <si>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</si>
  <si>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</si>
  <si>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</si>
  <si>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</si>
  <si>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</si>
  <si>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</si>
  <si>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</si>
  <si>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</si>
  <si>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</si>
  <si>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</si>
  <si>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</si>
  <si>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</si>
  <si>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</si>
  <si>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</si>
  <si>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</si>
  <si>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</si>
  <si>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</si>
  <si>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</si>
  <si>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</si>
  <si>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</si>
  <si>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</si>
  <si>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</si>
  <si>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</si>
  <si>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</si>
  <si>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</si>
  <si>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</si>
  <si>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</si>
  <si>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</si>
  <si>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</si>
  <si>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</si>
  <si>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</si>
  <si>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</si>
  <si>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</si>
  <si>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</si>
  <si>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</si>
  <si>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</si>
  <si>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</si>
  <si>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</si>
  <si>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</si>
  <si>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</si>
  <si>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</si>
  <si>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</si>
  <si>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</si>
  <si>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</si>
  <si>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</si>
  <si>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</si>
  <si>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</si>
  <si>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</si>
  <si>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</si>
  <si>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</si>
  <si>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</si>
  <si>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</si>
  <si>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</si>
  <si>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</si>
  <si>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</si>
  <si>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</si>
  <si>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</si>
  <si>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</si>
  <si>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</si>
  <si>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</si>
  <si>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</si>
  <si>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</si>
  <si>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</si>
  <si>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</si>
  <si>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</si>
  <si>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</si>
  <si>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</si>
  <si>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</si>
  <si>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</si>
  <si>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</si>
  <si>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</si>
  <si>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</si>
  <si>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</si>
  <si>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</si>
  <si>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</si>
  <si>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</si>
  <si>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</si>
  <si>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</si>
  <si>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</si>
  <si>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</si>
  <si>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</si>
  <si>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</si>
  <si>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</si>
  <si>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</si>
  <si>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</si>
  <si>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</si>
  <si>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</si>
  <si>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</si>
  <si>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</si>
  <si>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</si>
  <si>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</si>
  <si>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</si>
  <si>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</si>
  <si>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</si>
  <si>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</si>
  <si>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</si>
  <si>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</si>
  <si>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</si>
  <si>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</si>
  <si>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</si>
  <si>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</si>
  <si>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</si>
  <si>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</si>
  <si>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</si>
  <si>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</si>
  <si>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</si>
  <si>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</si>
  <si>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</si>
  <si>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</si>
  <si>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</si>
  <si>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</si>
  <si>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</si>
  <si>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</si>
  <si>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</si>
  <si>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</si>
  <si>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</si>
  <si>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</si>
  <si>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</si>
  <si>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</si>
  <si>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</si>
  <si>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</si>
  <si>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</si>
  <si>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</si>
  <si>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</si>
  <si>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</si>
  <si>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</si>
  <si>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</si>
  <si>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</si>
  <si>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</si>
  <si>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</si>
  <si>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</si>
  <si>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</si>
  <si>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</si>
  <si>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</si>
  <si>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</si>
  <si>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</si>
  <si>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</si>
  <si>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</si>
  <si>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</si>
  <si>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</si>
  <si>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</si>
  <si>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</si>
  <si>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</si>
  <si>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</si>
  <si>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</si>
  <si>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</si>
  <si>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</si>
  <si>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</si>
  <si>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</si>
  <si>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</si>
  <si>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</si>
  <si>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</si>
  <si>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</si>
  <si>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</si>
  <si>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</si>
  <si>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</si>
  <si>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</si>
  <si>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</si>
  <si>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</si>
  <si>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</si>
  <si>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</si>
  <si>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</si>
  <si>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</si>
  <si>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</si>
  <si>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</si>
  <si>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</si>
  <si>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</si>
  <si>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</si>
  <si>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</si>
  <si>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</si>
  <si>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</si>
  <si>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</si>
  <si>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</si>
  <si>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</si>
  <si>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</si>
  <si>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</si>
  <si>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</si>
  <si>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</si>
  <si>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</si>
  <si>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</si>
  <si>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</si>
  <si>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</si>
  <si>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</si>
  <si>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</si>
  <si>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</si>
  <si>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</si>
  <si>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</si>
  <si>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</si>
  <si>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</si>
  <si>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</si>
  <si>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</si>
  <si>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</si>
  <si>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</si>
  <si>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</si>
  <si>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</si>
  <si>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</si>
  <si>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</si>
  <si>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</si>
  <si>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</si>
  <si>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</si>
  <si>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</si>
  <si>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</si>
  <si>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</si>
  <si>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</si>
  <si>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</si>
  <si>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</si>
  <si>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</si>
  <si>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</si>
  <si>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</si>
  <si>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</si>
  <si>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</si>
  <si>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</si>
  <si>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</si>
  <si>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</si>
  <si>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</si>
  <si>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</si>
  <si>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</si>
  <si>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</si>
  <si>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</si>
  <si>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</si>
  <si>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</si>
  <si>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</si>
  <si>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</si>
  <si>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</si>
  <si>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</si>
  <si>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</si>
  <si>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</si>
  <si>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</si>
  <si>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</si>
  <si>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</si>
  <si>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</si>
  <si>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</si>
  <si>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</si>
  <si>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</si>
  <si>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</si>
  <si>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</si>
  <si>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</si>
  <si>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</si>
  <si>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</si>
  <si>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</si>
  <si>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</si>
  <si>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</si>
  <si>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</si>
  <si>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</si>
  <si>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</si>
  <si>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</si>
  <si>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</si>
  <si>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</si>
  <si>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</si>
  <si>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</si>
  <si>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</si>
  <si>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</si>
  <si>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</si>
  <si>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</si>
  <si>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</si>
  <si>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</si>
  <si>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</si>
  <si>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</si>
  <si>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</si>
  <si>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</si>
  <si>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</si>
  <si>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</si>
  <si>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</si>
  <si>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</si>
  <si>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</si>
  <si>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</si>
  <si>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</si>
  <si>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</si>
  <si>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</si>
  <si>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</si>
  <si>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</si>
  <si>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</si>
  <si>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</si>
  <si>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</si>
  <si>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</si>
  <si>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</si>
  <si>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</si>
  <si>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</si>
  <si>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</si>
  <si>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</si>
  <si>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</si>
  <si>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</si>
  <si>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</si>
  <si>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</si>
  <si>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</si>
  <si>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</si>
  <si>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</si>
  <si>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</si>
  <si>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</si>
  <si>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</si>
  <si>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</si>
  <si>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</si>
  <si>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</si>
  <si>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</si>
  <si>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</si>
  <si>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</si>
  <si>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</si>
  <si>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</si>
  <si>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</si>
  <si>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</si>
  <si>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</si>
  <si>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</si>
  <si>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</si>
  <si>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</si>
  <si>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</si>
  <si>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</si>
  <si>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</si>
  <si>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</si>
  <si>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</si>
  <si>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</si>
  <si>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</si>
  <si>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</si>
  <si>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</si>
  <si>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</si>
  <si>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</si>
  <si>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</si>
  <si>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</si>
  <si>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</si>
  <si>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</si>
  <si>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</si>
  <si>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</si>
  <si>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</si>
  <si>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</si>
  <si>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</si>
  <si>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</si>
  <si>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</si>
  <si>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</si>
  <si>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</si>
  <si>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</si>
  <si>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</si>
  <si>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</si>
  <si>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</si>
  <si>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</si>
  <si>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</si>
  <si>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</si>
  <si>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</si>
  <si>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</si>
  <si>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</si>
  <si>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</si>
  <si>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</si>
  <si>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</si>
  <si>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</si>
  <si>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</si>
  <si>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</si>
  <si>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</si>
  <si>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</si>
  <si>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</si>
  <si>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</si>
  <si>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</si>
  <si>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</si>
  <si>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</si>
  <si>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</si>
  <si>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</si>
  <si>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</si>
  <si>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</si>
  <si>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</si>
  <si>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</si>
  <si>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</si>
  <si>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</si>
  <si>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</si>
  <si>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</si>
  <si>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</si>
  <si>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</si>
  <si>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</si>
  <si>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</si>
  <si>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</si>
  <si>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</si>
  <si>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</si>
  <si>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</si>
  <si>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</si>
  <si>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</si>
  <si>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</si>
  <si>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</si>
  <si>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</si>
  <si>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</si>
  <si>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</si>
  <si>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</si>
  <si>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</si>
  <si>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</si>
  <si>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</si>
  <si>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</si>
  <si>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</si>
  <si>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</si>
  <si>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</si>
  <si>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</si>
  <si>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</si>
  <si>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</si>
  <si>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</si>
  <si>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</si>
  <si>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</si>
  <si>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</si>
  <si>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</si>
  <si>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</si>
  <si>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</si>
  <si>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</si>
  <si>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</si>
  <si>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</si>
  <si>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</si>
  <si>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</si>
  <si>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</si>
  <si>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</si>
  <si>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</si>
  <si>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</si>
  <si>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</si>
  <si>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</si>
  <si>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</si>
  <si>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</si>
  <si>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</si>
  <si>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</si>
  <si>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</si>
  <si>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</si>
  <si>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</si>
  <si>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</si>
  <si>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</si>
  <si>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</si>
  <si>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</si>
  <si>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</si>
  <si>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</si>
  <si>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</si>
  <si>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</si>
  <si>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</si>
  <si>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</si>
  <si>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</si>
  <si>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</si>
  <si>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</si>
  <si>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</si>
  <si>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</si>
  <si>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</si>
  <si>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</si>
  <si>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</si>
  <si>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</si>
  <si>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</si>
  <si>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</si>
  <si>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</si>
  <si>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</si>
  <si>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</si>
  <si>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</si>
  <si>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</si>
  <si>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</si>
  <si>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</si>
  <si>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</si>
  <si>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</si>
  <si>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</si>
  <si>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</si>
  <si>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</si>
  <si>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</si>
  <si>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</si>
  <si>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</si>
  <si>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</si>
  <si>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</si>
  <si>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</si>
  <si>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</si>
  <si>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</si>
  <si>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</si>
  <si>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</si>
  <si>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</si>
  <si>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</si>
  <si>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</si>
  <si>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</si>
  <si>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</si>
  <si>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</si>
  <si>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</si>
  <si>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</si>
  <si>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</si>
  <si>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</si>
  <si>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</si>
  <si>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</si>
  <si>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</si>
  <si>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</si>
  <si>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</si>
  <si>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</si>
  <si>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</si>
  <si>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</si>
  <si>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</si>
  <si>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</si>
  <si>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</si>
  <si>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</si>
  <si>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</si>
  <si>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</si>
  <si>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</si>
  <si>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</si>
  <si>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</si>
  <si>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</si>
  <si>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</si>
  <si>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</si>
  <si>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</si>
  <si>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</si>
  <si>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</si>
  <si>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</si>
  <si>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</si>
  <si>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</si>
  <si>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</si>
  <si>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</si>
  <si>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</si>
  <si>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</si>
  <si>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</si>
  <si>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</si>
  <si>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</si>
  <si>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</si>
  <si>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</si>
  <si>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</si>
  <si>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</si>
  <si>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</si>
  <si>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</si>
  <si>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</si>
  <si>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</si>
  <si>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</si>
  <si>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</si>
  <si>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</si>
  <si>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</si>
  <si>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</si>
  <si>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</si>
  <si>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</si>
  <si>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</si>
  <si>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</si>
  <si>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</si>
  <si>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</si>
  <si>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</si>
  <si>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</si>
  <si>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</si>
  <si>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</si>
  <si>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</si>
  <si>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</si>
  <si>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</si>
  <si>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</si>
  <si>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</si>
  <si>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</si>
  <si>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</si>
  <si>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</si>
  <si>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</si>
  <si>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</si>
  <si>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</si>
  <si>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</si>
  <si>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</si>
  <si>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</si>
  <si>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</si>
  <si>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</si>
  <si>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</si>
  <si>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</si>
  <si>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</si>
  <si>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</si>
  <si>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</si>
  <si>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</si>
  <si>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</si>
  <si>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</si>
  <si>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</si>
  <si>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</si>
  <si>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</si>
  <si>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</si>
  <si>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</si>
  <si>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</si>
  <si>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</si>
  <si>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</si>
  <si>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</si>
  <si>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</si>
  <si>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</si>
  <si>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</si>
  <si>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</si>
  <si>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</si>
  <si>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</si>
  <si>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</si>
  <si>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</si>
  <si>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</si>
  <si>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</si>
  <si>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</si>
  <si>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</si>
  <si>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</si>
  <si>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</si>
  <si>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</si>
  <si>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</si>
  <si>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</si>
  <si>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</si>
  <si>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</si>
  <si>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</si>
  <si>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</si>
  <si>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</si>
  <si>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</si>
  <si>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</si>
  <si>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</si>
  <si>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</si>
  <si>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</si>
  <si>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</si>
  <si>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</si>
  <si>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</si>
  <si>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</si>
  <si>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</si>
  <si>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</si>
  <si>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</si>
  <si>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</si>
  <si>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</si>
  <si>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</si>
  <si>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</si>
  <si>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</si>
  <si>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</si>
  <si>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</si>
  <si>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</si>
  <si>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</si>
  <si>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</si>
  <si>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</si>
  <si>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</si>
  <si>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</si>
  <si>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</si>
  <si>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</si>
  <si>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</si>
  <si>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</si>
  <si>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</si>
  <si>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</si>
  <si>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</si>
  <si>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</si>
  <si>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</si>
  <si>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</si>
  <si>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</si>
  <si>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</si>
  <si>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</si>
  <si>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</si>
  <si>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</si>
  <si>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</si>
  <si>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</si>
  <si>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</si>
  <si>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</si>
  <si>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</si>
  <si>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</si>
  <si>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</si>
  <si>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</si>
  <si>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</si>
  <si>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</si>
  <si>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</si>
  <si>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</si>
  <si>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</si>
  <si>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</si>
  <si>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</si>
  <si>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</si>
  <si>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</si>
  <si>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</si>
  <si>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</si>
  <si>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</si>
  <si>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</si>
  <si>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</si>
  <si>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</si>
  <si>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</si>
  <si>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</si>
  <si>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</si>
  <si>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</si>
  <si>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</si>
  <si>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</si>
  <si>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</si>
  <si>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</si>
  <si>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</si>
  <si>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</si>
  <si>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</si>
  <si>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</si>
  <si>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</si>
  <si>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</si>
  <si>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</si>
  <si>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</si>
  <si>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</si>
  <si>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</si>
  <si>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</si>
  <si>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</si>
  <si>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</si>
  <si>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</si>
  <si>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</si>
  <si>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</si>
  <si>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</si>
  <si>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</si>
  <si>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</si>
  <si>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</si>
  <si>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</si>
  <si>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</si>
  <si>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</si>
  <si>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</si>
  <si>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</si>
  <si>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</si>
  <si>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</si>
  <si>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</si>
  <si>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</si>
  <si>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</si>
  <si>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</si>
  <si>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</si>
  <si>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</si>
  <si>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</si>
  <si>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</si>
  <si>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</si>
  <si>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</si>
  <si>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</si>
  <si>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</si>
  <si>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</si>
  <si>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</si>
  <si>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</si>
  <si>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</si>
  <si>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</si>
  <si>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</si>
  <si>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</si>
  <si>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</si>
  <si>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</si>
  <si>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</si>
  <si>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</si>
  <si>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</si>
  <si>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</si>
  <si>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</si>
  <si>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</si>
  <si>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</si>
  <si>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</si>
  <si>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</si>
  <si>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</si>
  <si>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</si>
  <si>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</si>
  <si>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</si>
  <si>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</si>
  <si>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</si>
  <si>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</si>
  <si>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</si>
  <si>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</si>
  <si>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</si>
  <si>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</si>
  <si>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</si>
  <si>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</si>
  <si>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</si>
  <si>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</si>
  <si>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</si>
  <si>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</si>
  <si>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</si>
  <si>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</si>
  <si>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</si>
  <si>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</si>
  <si>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</si>
  <si>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</si>
  <si>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</si>
  <si>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</si>
  <si>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</si>
  <si>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</si>
  <si>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</si>
  <si>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</si>
  <si>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</si>
  <si>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</si>
  <si>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</si>
  <si>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</si>
  <si>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</si>
  <si>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</si>
  <si>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</si>
  <si>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</si>
  <si>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</si>
  <si>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</si>
  <si>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</si>
  <si>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</si>
  <si>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</si>
  <si>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</si>
  <si>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</si>
  <si>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</si>
  <si>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</si>
  <si>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</si>
  <si>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</si>
  <si>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</si>
  <si>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</si>
  <si>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</si>
  <si>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</si>
  <si>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</si>
  <si>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</si>
  <si>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</si>
  <si>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</si>
  <si>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</si>
  <si>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</si>
  <si>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</si>
  <si>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</si>
  <si>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</si>
  <si>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</si>
  <si>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</si>
  <si>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</si>
  <si>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</si>
  <si>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</si>
  <si>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</si>
  <si>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</si>
  <si>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</si>
  <si>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</si>
  <si>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</si>
  <si>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</si>
  <si>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</si>
  <si>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</si>
  <si>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</si>
  <si>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</si>
  <si>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</si>
  <si>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</si>
  <si>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</si>
  <si>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</si>
  <si>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</si>
  <si>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</si>
  <si>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</si>
  <si>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</si>
  <si>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</si>
  <si>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</si>
  <si>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</si>
  <si>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</si>
  <si>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</si>
  <si>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</si>
  <si>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</si>
  <si>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</si>
  <si>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</si>
  <si>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</si>
  <si>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</si>
  <si>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</si>
  <si>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</si>
  <si>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</si>
  <si>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</si>
  <si>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</si>
  <si>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</si>
  <si>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</si>
  <si>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</si>
  <si>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</si>
  <si>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</si>
  <si>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</si>
  <si>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</si>
  <si>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</si>
  <si>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</si>
  <si>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</si>
  <si>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</si>
  <si>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</si>
  <si>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</si>
  <si>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</si>
  <si>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</si>
  <si>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</si>
  <si>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</si>
  <si>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</si>
  <si>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</si>
  <si>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</si>
  <si>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</si>
  <si>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</si>
  <si>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</si>
  <si>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</si>
  <si>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</si>
  <si>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</si>
  <si>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</si>
  <si>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</si>
  <si>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</si>
  <si>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</si>
  <si>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</si>
  <si>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</si>
  <si>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</si>
  <si>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</si>
  <si>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</si>
  <si>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</si>
  <si>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</si>
  <si>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</si>
  <si>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</si>
  <si>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</si>
  <si>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</si>
  <si>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</si>
  <si>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</si>
  <si>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</si>
  <si>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</si>
  <si>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</si>
  <si>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</si>
  <si>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</si>
  <si>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</si>
  <si>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</si>
  <si>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</si>
  <si>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</si>
  <si>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</si>
  <si>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</si>
  <si>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</si>
  <si>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</si>
  <si>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</si>
  <si>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</si>
  <si>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</si>
  <si>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</si>
  <si>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</si>
  <si>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</si>
  <si>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</si>
  <si>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</si>
  <si>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</si>
  <si>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</si>
  <si>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</si>
  <si>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</si>
  <si>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</si>
  <si>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</si>
  <si>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</si>
  <si>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</si>
  <si>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</si>
  <si>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</si>
  <si>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</si>
  <si>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</si>
  <si>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</si>
  <si>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</si>
  <si>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</si>
  <si>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</si>
  <si>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</si>
  <si>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</si>
  <si>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</si>
  <si>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</si>
  <si>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</si>
  <si>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</si>
  <si>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</si>
  <si>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</si>
  <si>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</si>
  <si>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</si>
  <si>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</si>
  <si>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</si>
  <si>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</si>
  <si>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</si>
  <si>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</si>
  <si>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</si>
  <si>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</si>
  <si>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</si>
  <si>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</si>
  <si>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</si>
  <si>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</si>
  <si>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</si>
  <si>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</si>
  <si>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</si>
  <si>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</si>
  <si>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</si>
  <si>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</si>
  <si>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</si>
  <si>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</si>
  <si>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</si>
  <si>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</si>
  <si>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</si>
  <si>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</si>
  <si>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</si>
  <si>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</si>
  <si>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</si>
  <si>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</si>
  <si>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</si>
  <si>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</si>
  <si>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</si>
  <si>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</si>
  <si>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</si>
  <si>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</si>
  <si>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</si>
  <si>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</si>
  <si>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</si>
  <si>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</si>
  <si>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</si>
  <si>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</si>
  <si>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</si>
  <si>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</si>
  <si>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</si>
  <si>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</si>
  <si>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</si>
  <si>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</si>
  <si>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</si>
  <si>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</si>
  <si>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</si>
  <si>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</si>
  <si>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</si>
  <si>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</si>
  <si>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</si>
  <si>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</si>
  <si>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</si>
  <si>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</si>
  <si>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</si>
  <si>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</si>
  <si>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</si>
  <si>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</si>
  <si>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</si>
  <si>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</si>
  <si>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</si>
  <si>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</si>
  <si>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</si>
  <si>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</si>
  <si>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</si>
  <si>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</si>
  <si>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</si>
  <si>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</si>
  <si>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</si>
  <si>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</si>
  <si>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</si>
  <si>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</si>
  <si>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</si>
  <si>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</si>
  <si>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</si>
  <si>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</si>
  <si>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</si>
  <si>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</si>
  <si>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</si>
  <si>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</si>
  <si>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</si>
  <si>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</si>
  <si>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</si>
  <si>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</si>
  <si>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</si>
  <si>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</si>
  <si>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</si>
  <si>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</si>
  <si>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</si>
  <si>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</si>
  <si>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</si>
  <si>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</si>
  <si>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</si>
  <si>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</si>
  <si>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</si>
  <si>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</si>
  <si>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</si>
  <si>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</si>
  <si>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</si>
  <si>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</si>
  <si>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</si>
  <si>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</si>
  <si>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</si>
  <si>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</si>
  <si>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</si>
  <si>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</si>
  <si>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</si>
  <si>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</si>
  <si>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</si>
  <si>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</si>
  <si>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</si>
  <si>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</si>
  <si>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</si>
  <si>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</si>
  <si>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</si>
  <si>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</si>
  <si>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</si>
  <si>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</si>
  <si>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</si>
  <si>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</si>
  <si>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</si>
  <si>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</si>
  <si>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</si>
  <si>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</si>
  <si>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</si>
  <si>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</si>
  <si>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</si>
  <si>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</si>
  <si>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</si>
  <si>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</si>
  <si>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</si>
  <si>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</si>
  <si>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</si>
  <si>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</si>
  <si>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</si>
  <si>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</si>
  <si>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</si>
  <si>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</si>
  <si>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</si>
  <si>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</si>
  <si>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</si>
  <si>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</si>
  <si>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</si>
  <si>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</si>
  <si>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</si>
  <si>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</si>
  <si>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</si>
  <si>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</si>
  <si>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</si>
  <si>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</si>
  <si>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</si>
  <si>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</si>
  <si>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</si>
  <si>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</si>
  <si>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</si>
  <si>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</si>
  <si>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</si>
  <si>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</si>
  <si>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</si>
  <si>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</si>
  <si>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</si>
  <si>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</si>
  <si>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</si>
  <si>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</si>
  <si>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</si>
  <si>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</si>
  <si>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</si>
  <si>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</si>
  <si>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</si>
  <si>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</si>
  <si>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</si>
  <si>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</si>
  <si>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</si>
  <si>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</si>
  <si>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</si>
  <si>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</si>
  <si>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</si>
  <si>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</si>
  <si>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</si>
  <si>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</si>
  <si>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</si>
  <si>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</si>
  <si>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</si>
  <si>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</si>
  <si>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</si>
  <si>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</si>
  <si>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</si>
  <si>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</si>
  <si>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</si>
  <si>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</si>
  <si>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</si>
  <si>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</si>
  <si>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</si>
  <si>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</si>
  <si>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</si>
  <si>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</si>
  <si>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</si>
  <si>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</si>
  <si>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</si>
  <si>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</si>
  <si>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</si>
  <si>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</si>
  <si>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</si>
  <si>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</si>
  <si>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</si>
  <si>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</si>
  <si>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</si>
  <si>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</si>
  <si>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</si>
  <si>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</si>
  <si>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</si>
  <si>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</si>
  <si>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</si>
  <si>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</si>
  <si>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</si>
  <si>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</si>
  <si>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</si>
  <si>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</si>
  <si>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</si>
  <si>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</si>
  <si>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</si>
  <si>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</si>
  <si>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</si>
  <si>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</si>
  <si>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</si>
  <si>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</si>
  <si>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</si>
  <si>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</si>
  <si>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</si>
  <si>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</si>
  <si>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</si>
  <si>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</si>
  <si>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</si>
  <si>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</si>
  <si>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</si>
  <si>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</si>
  <si>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</si>
  <si>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</si>
  <si>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</si>
  <si>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</si>
  <si>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</si>
  <si>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</si>
  <si>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</si>
  <si>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</si>
  <si>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</si>
  <si>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</si>
  <si>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</si>
  <si>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</si>
  <si>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</si>
  <si>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</si>
  <si>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</si>
  <si>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</si>
  <si>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</si>
  <si>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</si>
  <si>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</si>
  <si>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</si>
  <si>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</si>
  <si>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</si>
  <si>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</si>
  <si>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</si>
  <si>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</si>
  <si>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</si>
  <si>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</si>
  <si>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</si>
  <si>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</si>
  <si>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</si>
  <si>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</si>
  <si>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</si>
  <si>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</si>
  <si>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</si>
  <si>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</si>
  <si>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</si>
  <si>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</si>
  <si>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</si>
  <si>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</si>
  <si>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</si>
  <si>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</si>
  <si>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</si>
  <si>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</si>
  <si>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</si>
  <si>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</si>
  <si>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</si>
  <si>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</si>
  <si>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</si>
  <si>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</si>
  <si>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</si>
  <si>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</si>
  <si>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</si>
  <si>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</si>
  <si>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</si>
  <si>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</si>
  <si>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</si>
  <si>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</si>
  <si>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</si>
  <si>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</si>
  <si>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</si>
  <si>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</si>
  <si>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</si>
  <si>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</si>
  <si>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</si>
  <si>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</si>
  <si>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</si>
  <si>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</si>
  <si>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</si>
  <si>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</si>
  <si>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</si>
  <si>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</si>
  <si>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</si>
  <si>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</si>
  <si>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</si>
  <si>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</si>
  <si>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</si>
  <si>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</si>
  <si>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</si>
  <si>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</si>
  <si>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</si>
  <si>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</si>
  <si>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</si>
  <si>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</si>
  <si>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</si>
  <si>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</si>
  <si>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</si>
  <si>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</si>
  <si>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</si>
  <si>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</si>
  <si>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</si>
  <si>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</si>
  <si>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</si>
  <si>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</si>
  <si>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</si>
  <si>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</si>
  <si>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</si>
  <si>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</si>
  <si>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</si>
  <si>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</si>
  <si>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</si>
  <si>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</si>
  <si>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</si>
  <si>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</si>
  <si>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</si>
  <si>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</si>
  <si>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</si>
  <si>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</si>
  <si>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</si>
  <si>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</si>
  <si>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</si>
  <si>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</si>
  <si>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</si>
  <si>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</si>
  <si>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</si>
  <si>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</si>
  <si>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</si>
  <si>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</si>
  <si>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</si>
  <si>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</si>
  <si>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</si>
  <si>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</si>
  <si>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</si>
  <si>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</si>
  <si>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</si>
  <si>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</si>
  <si>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</si>
  <si>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</si>
  <si>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</si>
  <si>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</si>
  <si>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</si>
  <si>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</si>
  <si>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</si>
  <si>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</si>
  <si>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</si>
  <si>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</si>
  <si>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</si>
  <si>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</si>
  <si>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</si>
  <si>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</si>
  <si>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</si>
  <si>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</si>
  <si>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</si>
  <si>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</si>
  <si>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</si>
  <si>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</si>
  <si>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</si>
  <si>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</si>
  <si>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</si>
  <si>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</si>
  <si>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</si>
  <si>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</si>
  <si>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</si>
  <si>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</si>
  <si>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</si>
  <si>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</si>
  <si>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</si>
  <si>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</si>
  <si>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</si>
  <si>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</si>
  <si>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</si>
  <si>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</si>
  <si>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</si>
  <si>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</si>
  <si>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</si>
  <si>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</si>
  <si>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</si>
  <si>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</si>
  <si>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</si>
  <si>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</si>
  <si>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</si>
  <si>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</si>
  <si>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</si>
  <si>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</si>
  <si>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</si>
  <si>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</si>
  <si>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</si>
  <si>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</si>
  <si>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</si>
  <si>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</si>
  <si>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</si>
  <si>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</si>
  <si>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</si>
  <si>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</si>
  <si>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</si>
  <si>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</si>
  <si>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</si>
  <si>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</si>
  <si>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</si>
  <si>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</si>
  <si>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</si>
  <si>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</si>
  <si>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</si>
  <si>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</si>
  <si>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</si>
  <si>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</si>
  <si>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</si>
  <si>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</si>
  <si>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</si>
  <si>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</si>
  <si>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</si>
  <si>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</si>
  <si>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</si>
  <si>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</si>
  <si>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</si>
  <si>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</si>
  <si>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</si>
  <si>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</si>
  <si>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</si>
  <si>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</si>
  <si>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</si>
  <si>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</si>
  <si>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</si>
  <si>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</si>
  <si>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</si>
  <si>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</si>
  <si>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</si>
  <si>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</si>
  <si>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</si>
  <si>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</si>
  <si>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</si>
  <si>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</si>
  <si>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</si>
  <si>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</si>
  <si>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</si>
  <si>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</si>
  <si>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</si>
  <si>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</si>
  <si>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</si>
  <si>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</si>
  <si>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</si>
  <si>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</si>
  <si>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</si>
  <si>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</si>
  <si>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</si>
  <si>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</si>
  <si>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</si>
  <si>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</si>
  <si>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</si>
  <si>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</si>
  <si>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</si>
  <si>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</si>
  <si>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</si>
  <si>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</si>
  <si>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</si>
  <si>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</si>
  <si>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</si>
  <si>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</si>
  <si>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</si>
  <si>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</si>
  <si>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</si>
  <si>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</si>
  <si>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</si>
  <si>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</si>
  <si>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</si>
  <si>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</si>
  <si>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</si>
  <si>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</si>
  <si>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</si>
  <si>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</si>
  <si>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</si>
  <si>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</si>
  <si>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</si>
  <si>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</si>
  <si>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</si>
  <si>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</si>
  <si>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</si>
  <si>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</si>
  <si>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</si>
  <si>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</si>
  <si>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</si>
  <si>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</si>
  <si>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</si>
  <si>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</si>
  <si>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</si>
  <si>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</si>
  <si>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</si>
  <si>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</si>
  <si>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</si>
  <si>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</si>
  <si>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</si>
  <si>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</si>
  <si>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</si>
  <si>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</si>
  <si>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</si>
  <si>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</si>
  <si>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</si>
  <si>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</si>
  <si>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</si>
  <si>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</si>
  <si>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</si>
  <si>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</si>
  <si>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</si>
  <si>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</si>
  <si>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</si>
  <si>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</si>
  <si>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</si>
  <si>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</si>
  <si>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</si>
  <si>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</si>
  <si>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</si>
  <si>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</si>
  <si>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</si>
  <si>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</si>
  <si>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</si>
  <si>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</si>
  <si>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</si>
  <si>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</si>
  <si>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</si>
  <si>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</si>
  <si>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</si>
  <si>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</si>
  <si>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</si>
  <si>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</si>
  <si>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</si>
  <si>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</si>
  <si>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</si>
  <si>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</si>
  <si>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</si>
  <si>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</si>
  <si>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</si>
  <si>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</si>
  <si>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</si>
  <si>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</si>
  <si>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</si>
  <si>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</si>
  <si>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</si>
  <si>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</si>
  <si>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</si>
  <si>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</si>
  <si>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</si>
  <si>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</si>
  <si>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</si>
  <si>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</si>
  <si>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</si>
  <si>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</si>
  <si>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</si>
  <si>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</si>
  <si>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</si>
  <si>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</si>
  <si>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</si>
  <si>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</si>
  <si>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</si>
  <si>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</si>
  <si>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</si>
  <si>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</si>
  <si>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</si>
  <si>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</si>
  <si>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</si>
  <si>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</si>
  <si>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</si>
  <si>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</si>
  <si>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</si>
  <si>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</si>
  <si>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</si>
  <si>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</si>
  <si>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</si>
  <si>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</si>
  <si>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</si>
  <si>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</si>
  <si>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</si>
  <si>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</si>
  <si>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</si>
  <si>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</si>
  <si>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</si>
  <si>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</si>
  <si>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</si>
  <si>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</si>
  <si>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</si>
  <si>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</si>
  <si>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</si>
  <si>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</si>
  <si>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</si>
  <si>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</si>
  <si>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</si>
  <si>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</si>
  <si>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</si>
  <si>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</si>
  <si>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</si>
  <si>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</si>
  <si>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</si>
  <si>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</si>
  <si>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</si>
  <si>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</si>
  <si>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</si>
  <si>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</si>
  <si>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</si>
  <si>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</si>
  <si>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</si>
  <si>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</si>
  <si>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</si>
  <si>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</si>
  <si>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</si>
  <si>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</si>
  <si>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</si>
  <si>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</si>
  <si>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</si>
  <si>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</si>
  <si>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</si>
  <si>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</si>
  <si>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</si>
  <si>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</si>
  <si>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</si>
  <si>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</si>
  <si>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</si>
  <si>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</si>
  <si>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</si>
  <si>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</si>
  <si>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</si>
  <si>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</si>
  <si>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</si>
  <si>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</si>
  <si>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</si>
  <si>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</si>
  <si>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</si>
  <si>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</si>
  <si>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</si>
  <si>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</si>
  <si>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</si>
  <si>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</si>
  <si>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</si>
  <si>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</si>
  <si>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</si>
  <si>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</si>
  <si>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</si>
  <si>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</si>
  <si>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</si>
  <si>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</si>
  <si>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</si>
  <si>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</si>
  <si>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</si>
  <si>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</si>
  <si>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</si>
  <si>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</si>
  <si>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</si>
  <si>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</si>
  <si>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</si>
  <si>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</si>
  <si>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</si>
  <si>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</si>
  <si>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</si>
  <si>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</si>
  <si>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</si>
  <si>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</si>
  <si>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</si>
  <si>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</si>
  <si>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</si>
  <si>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</si>
  <si>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</si>
  <si>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</si>
  <si>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</si>
  <si>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</si>
  <si>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</si>
  <si>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</si>
  <si>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</si>
  <si>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</si>
  <si>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</si>
  <si>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</si>
  <si>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</si>
  <si>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</si>
  <si>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</si>
  <si>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</si>
  <si>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</si>
  <si>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</si>
  <si>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</si>
  <si>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</si>
  <si>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</si>
  <si>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</si>
  <si>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</si>
  <si>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</si>
  <si>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</si>
  <si>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</si>
  <si>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</si>
  <si>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</si>
  <si>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</si>
  <si>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</si>
  <si>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</si>
  <si>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</si>
  <si>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</si>
  <si>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</si>
  <si>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</si>
  <si>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</si>
  <si>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</si>
  <si>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</si>
  <si>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</si>
  <si>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</si>
  <si>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</si>
  <si>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</si>
  <si>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</si>
  <si>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</si>
  <si>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</si>
  <si>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</si>
  <si>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</si>
  <si>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</si>
  <si>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</si>
  <si>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</si>
  <si>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</si>
  <si>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</si>
  <si>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</si>
  <si>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</si>
  <si>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</si>
  <si>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</si>
  <si>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</si>
  <si>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</si>
  <si>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</si>
  <si>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</si>
  <si>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</si>
  <si>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</si>
  <si>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</si>
  <si>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</si>
  <si>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</si>
  <si>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</si>
  <si>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</si>
  <si>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</si>
  <si>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</si>
  <si>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</si>
  <si>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</si>
  <si>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</si>
  <si>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</si>
  <si>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</si>
  <si>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</si>
  <si>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</si>
  <si>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</si>
  <si>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</si>
  <si>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</si>
  <si>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</si>
  <si>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</si>
  <si>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</si>
  <si>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</si>
  <si>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</si>
  <si>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</si>
  <si>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</si>
  <si>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</si>
  <si>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</si>
  <si>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</si>
  <si>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</si>
  <si>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</si>
  <si>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</si>
  <si>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</si>
  <si>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</si>
  <si>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</si>
  <si>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</si>
  <si>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</si>
  <si>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</si>
  <si>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</si>
  <si>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</si>
  <si>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</si>
  <si>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</si>
  <si>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</si>
  <si>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</si>
  <si>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</si>
  <si>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</si>
  <si>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</si>
  <si>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</si>
  <si>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</si>
  <si>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</si>
  <si>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</si>
  <si>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</si>
  <si>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</si>
  <si>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</si>
  <si>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</si>
  <si>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</si>
  <si>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</si>
  <si>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</si>
  <si>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</si>
  <si>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</si>
  <si>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</si>
  <si>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</si>
  <si>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</si>
  <si>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</si>
  <si>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</si>
  <si>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</si>
  <si>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</si>
  <si>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</si>
  <si>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</si>
  <si>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</si>
  <si>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</si>
  <si>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</si>
  <si>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</si>
  <si>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</si>
  <si>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</si>
  <si>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</si>
  <si>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</si>
  <si>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</si>
  <si>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</si>
  <si>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</si>
  <si>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</si>
  <si>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</si>
  <si>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</si>
  <si>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</si>
  <si>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</si>
  <si>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</si>
  <si>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</si>
  <si>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</si>
  <si>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</si>
  <si>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</si>
  <si>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</si>
  <si>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</si>
  <si>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</si>
  <si>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</si>
  <si>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</si>
  <si>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</si>
  <si>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</si>
  <si>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</si>
  <si>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</si>
  <si>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</si>
  <si>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</si>
  <si>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</si>
  <si>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</si>
  <si>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</si>
  <si>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</si>
  <si>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</si>
  <si>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</si>
  <si>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</si>
  <si>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</si>
  <si>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</si>
  <si>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</si>
  <si>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</si>
  <si>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</si>
  <si>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</si>
  <si>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</si>
  <si>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</si>
  <si>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</si>
  <si>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</si>
  <si>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</si>
  <si>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</si>
  <si>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</si>
  <si>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</si>
  <si>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</si>
  <si>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</si>
  <si>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</si>
  <si>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</si>
  <si>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</si>
  <si>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</si>
  <si>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</si>
  <si>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</si>
  <si>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</si>
  <si>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</si>
  <si>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</si>
  <si>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</si>
  <si>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</si>
  <si>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</si>
  <si>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</si>
  <si>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</si>
  <si>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</si>
  <si>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</si>
  <si>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</si>
  <si>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</si>
  <si>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</si>
  <si>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</si>
  <si>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</si>
  <si>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</si>
  <si>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</si>
  <si>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</si>
  <si>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</si>
  <si>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</si>
  <si>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</si>
  <si>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</si>
  <si>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</si>
  <si>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</si>
  <si>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</si>
  <si>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</si>
  <si>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</si>
  <si>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</si>
  <si>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</si>
  <si>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</si>
  <si>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</si>
  <si>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</si>
  <si>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</si>
  <si>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</si>
  <si>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</si>
  <si>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</si>
  <si>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</si>
  <si>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</si>
  <si>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</si>
  <si>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</si>
  <si>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</si>
  <si>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</si>
  <si>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</si>
  <si>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</si>
  <si>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</si>
  <si>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</si>
  <si>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</si>
  <si>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</si>
  <si>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</si>
  <si>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</si>
  <si>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</si>
  <si>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</si>
  <si>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</si>
  <si>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</si>
  <si>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</si>
  <si>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</si>
  <si>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</si>
  <si>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</si>
  <si>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</si>
  <si>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</si>
  <si>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</si>
  <si>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</si>
  <si>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</si>
  <si>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</si>
  <si>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</si>
  <si>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</si>
  <si>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</si>
  <si>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</si>
  <si>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</si>
  <si>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</si>
  <si>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</si>
  <si>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</si>
  <si>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</si>
  <si>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</si>
  <si>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</si>
  <si>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</si>
  <si>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</si>
  <si>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</si>
  <si>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</si>
  <si>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</si>
  <si>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</si>
  <si>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</si>
  <si>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</si>
  <si>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</si>
  <si>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</si>
  <si>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</si>
  <si>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</si>
  <si>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</si>
  <si>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</si>
  <si>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</si>
  <si>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</si>
  <si>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</si>
  <si>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</si>
  <si>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</si>
  <si>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</si>
  <si>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</si>
  <si>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</si>
  <si>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</si>
  <si>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</si>
  <si>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</si>
  <si>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</si>
  <si>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</si>
  <si>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</si>
  <si>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</si>
  <si>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</si>
  <si>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</si>
  <si>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</si>
  <si>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</si>
  <si>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</si>
  <si>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</si>
  <si>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</si>
  <si>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</si>
  <si>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</si>
  <si>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</si>
  <si>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</si>
  <si>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</si>
  <si>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</si>
  <si>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</si>
  <si>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</si>
  <si>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</si>
  <si>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</si>
  <si>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</si>
  <si>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</si>
  <si>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</si>
  <si>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</si>
  <si>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</si>
  <si>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</si>
  <si>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</si>
  <si>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</si>
  <si>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</si>
  <si>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</si>
  <si>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</si>
  <si>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</si>
  <si>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</si>
  <si>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</si>
  <si>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</si>
  <si>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</si>
  <si>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</si>
  <si>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</si>
  <si>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</si>
  <si>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</si>
  <si>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</si>
  <si>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</si>
  <si>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</si>
  <si>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</si>
  <si>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</si>
  <si>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</si>
  <si>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</si>
  <si>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</si>
  <si>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</si>
  <si>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</si>
  <si>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</si>
  <si>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</si>
  <si>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</si>
  <si>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</si>
  <si>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</si>
  <si>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</si>
  <si>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</si>
  <si>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</si>
  <si>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</si>
  <si>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</si>
  <si>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</si>
  <si>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</si>
  <si>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</si>
  <si>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</si>
  <si>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</si>
  <si>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</si>
  <si>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</si>
  <si>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</si>
  <si>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</si>
  <si>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</si>
  <si>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</si>
  <si>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</si>
  <si>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</si>
  <si>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</si>
  <si>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</si>
  <si>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</si>
  <si>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</si>
  <si>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</si>
  <si>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</si>
  <si>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</si>
  <si>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</si>
  <si>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</si>
  <si>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</si>
  <si>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</si>
  <si>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</si>
  <si>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</si>
  <si>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</si>
  <si>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</si>
  <si>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</si>
  <si>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</si>
  <si>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</si>
  <si>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</si>
  <si>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</si>
  <si>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</si>
  <si>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</si>
  <si>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</si>
  <si>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</si>
  <si>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</si>
  <si>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</si>
  <si>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</si>
  <si>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</si>
  <si>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</si>
  <si>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</si>
  <si>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</si>
  <si>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</si>
  <si>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</si>
  <si>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</si>
  <si>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</si>
  <si>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</si>
  <si>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</si>
  <si>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</si>
  <si>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</si>
  <si>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</si>
  <si>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</si>
  <si>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</si>
  <si>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</si>
  <si>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</si>
  <si>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</si>
  <si>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</si>
  <si>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</si>
  <si>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</si>
  <si>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</si>
  <si>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</si>
  <si>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</si>
  <si>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</si>
  <si>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</si>
  <si>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</si>
  <si>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</si>
  <si>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</si>
  <si>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</si>
  <si>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</si>
  <si>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</si>
  <si>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</si>
  <si>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</si>
  <si>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</si>
  <si>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</si>
  <si>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</si>
  <si>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</si>
  <si>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</si>
  <si>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</si>
  <si>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</si>
  <si>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</si>
  <si>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</si>
  <si>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</si>
  <si>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</si>
  <si>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</si>
  <si>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</si>
  <si>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</si>
  <si>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</si>
  <si>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</si>
  <si>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</si>
  <si>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</si>
  <si>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</si>
  <si>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</si>
  <si>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</si>
  <si>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</si>
  <si>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</si>
  <si>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</si>
  <si>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</si>
  <si>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</si>
  <si>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</si>
  <si>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</si>
  <si>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</si>
  <si>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</si>
  <si>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</si>
  <si>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</si>
  <si>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</si>
  <si>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</si>
  <si>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</si>
  <si>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</si>
  <si>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</si>
  <si>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</si>
  <si>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</si>
  <si>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</si>
  <si>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</si>
  <si>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</si>
  <si>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</si>
  <si>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</si>
  <si>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</si>
  <si>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</si>
  <si>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</si>
  <si>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</si>
  <si>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</si>
  <si>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</si>
  <si>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</si>
  <si>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</si>
  <si>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</si>
  <si>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</si>
  <si>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</si>
  <si>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</si>
  <si>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</si>
  <si>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</si>
  <si>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</si>
  <si>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</si>
  <si>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</si>
  <si>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</si>
  <si>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</si>
  <si>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</si>
  <si>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</si>
  <si>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</si>
  <si>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</si>
  <si>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</si>
  <si>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</si>
  <si>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</si>
  <si>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</si>
  <si>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</si>
  <si>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</si>
  <si>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</si>
  <si>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</si>
  <si>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</si>
  <si>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</si>
  <si>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</si>
  <si>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</si>
  <si>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</si>
  <si>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</si>
  <si>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</si>
  <si>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</si>
  <si>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</si>
  <si>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</si>
  <si>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</si>
  <si>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</si>
  <si>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</si>
  <si>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</si>
  <si>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</si>
  <si>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</si>
  <si>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</si>
  <si>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</si>
  <si>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</si>
  <si>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</si>
  <si>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</si>
  <si>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</si>
  <si>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</si>
  <si>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</si>
  <si>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</si>
  <si>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</si>
  <si>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</si>
  <si>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</si>
  <si>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</si>
  <si>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</si>
  <si>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</si>
  <si>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</si>
  <si>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</si>
  <si>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</si>
  <si>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</si>
  <si>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</si>
  <si>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</si>
  <si>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</si>
  <si>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</si>
  <si>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</si>
  <si>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</si>
  <si>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</si>
  <si>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</si>
  <si>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</si>
  <si>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</si>
  <si>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</si>
  <si>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</si>
  <si>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</si>
  <si>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</si>
  <si>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</si>
  <si>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</si>
  <si>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</si>
  <si>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</si>
  <si>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</si>
  <si>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</si>
  <si>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</si>
  <si>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</si>
  <si>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</si>
  <si>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</si>
  <si>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</si>
  <si>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</si>
  <si>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</si>
  <si>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</si>
  <si>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</si>
  <si>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</si>
  <si>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</si>
  <si>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</si>
  <si>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</si>
  <si>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</si>
  <si>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</si>
  <si>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</si>
  <si>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</si>
  <si>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</si>
  <si>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</si>
  <si>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</si>
  <si>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</si>
  <si>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</si>
  <si>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</si>
  <si>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</si>
  <si>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</si>
  <si>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</si>
  <si>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</si>
  <si>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</si>
  <si>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</si>
  <si>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</si>
  <si>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</si>
  <si>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</si>
  <si>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</si>
  <si>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</si>
  <si>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</si>
  <si>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</si>
  <si>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</si>
  <si>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</si>
  <si>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</si>
  <si>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</si>
  <si>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</si>
  <si>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</si>
  <si>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</si>
  <si>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</si>
  <si>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</si>
  <si>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</si>
  <si>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</si>
  <si>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</si>
  <si>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</si>
  <si>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</si>
  <si>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</si>
  <si>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</si>
  <si>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</si>
  <si>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</si>
  <si>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</si>
  <si>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</si>
  <si>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</si>
  <si>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</si>
  <si>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</si>
  <si>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</si>
  <si>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</si>
  <si>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</si>
  <si>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</si>
  <si>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</si>
  <si>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</si>
  <si>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</si>
  <si>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</si>
  <si>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</si>
  <si>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</si>
  <si>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</si>
  <si>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</si>
  <si>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</si>
  <si>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</si>
  <si>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</si>
  <si>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</si>
  <si>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</si>
  <si>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</si>
  <si>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</si>
  <si>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</si>
  <si>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</si>
  <si>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</si>
  <si>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</si>
  <si>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</si>
  <si>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</si>
  <si>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</si>
  <si>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</si>
  <si>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</si>
  <si>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</si>
  <si>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</si>
  <si>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</si>
  <si>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</si>
  <si>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</si>
  <si>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</si>
  <si>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</si>
  <si>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</si>
  <si>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</si>
  <si>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</si>
  <si>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</si>
  <si>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</si>
  <si>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</si>
  <si>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</si>
  <si>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</si>
  <si>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</si>
  <si>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</si>
  <si>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</si>
  <si>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</si>
  <si>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</si>
  <si>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</si>
  <si>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</si>
  <si>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</si>
  <si>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</si>
  <si>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</si>
  <si>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</si>
  <si>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</si>
  <si>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</si>
  <si>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</si>
  <si>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</si>
  <si>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</si>
  <si>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</si>
  <si>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</si>
  <si>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</si>
  <si>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</si>
  <si>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</si>
  <si>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</si>
  <si>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</si>
  <si>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</si>
  <si>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</si>
  <si>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</si>
  <si>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</si>
  <si>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</si>
  <si>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</si>
  <si>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</si>
  <si>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</si>
  <si>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</si>
  <si>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</si>
  <si>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</si>
  <si>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</si>
  <si>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</si>
  <si>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</si>
  <si>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</si>
  <si>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</si>
  <si>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</si>
  <si>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</si>
  <si>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</si>
  <si>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</si>
  <si>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</si>
  <si>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</si>
  <si>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</si>
  <si>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</si>
  <si>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</si>
  <si>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</si>
  <si>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</si>
  <si>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</si>
  <si>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</si>
  <si>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</si>
  <si>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</si>
  <si>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</si>
  <si>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</si>
  <si>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</si>
  <si>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</si>
  <si>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</si>
  <si>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</si>
  <si>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</si>
  <si>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</si>
  <si>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</si>
  <si>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</si>
  <si>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</si>
  <si>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</si>
  <si>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</si>
  <si>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</si>
  <si>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</si>
  <si>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</si>
  <si>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</si>
  <si>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</si>
  <si>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</si>
  <si>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</si>
  <si>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</si>
  <si>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</si>
  <si>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</si>
  <si>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</si>
  <si>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</si>
  <si>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</si>
  <si>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</si>
  <si>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</si>
  <si>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</si>
  <si>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</si>
  <si>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</si>
  <si>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</si>
  <si>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</si>
  <si>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</si>
  <si>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</si>
  <si>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</si>
  <si>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</si>
  <si>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</si>
  <si>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</si>
  <si>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</si>
  <si>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</si>
  <si>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</si>
  <si>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</si>
  <si>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</si>
  <si>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</si>
  <si>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</si>
  <si>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</si>
  <si>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</si>
  <si>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</si>
  <si>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</si>
  <si>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</si>
  <si>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</si>
  <si>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</si>
  <si>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</si>
  <si>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</si>
  <si>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</si>
  <si>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</si>
  <si>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</si>
  <si>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</si>
  <si>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</si>
  <si>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</si>
  <si>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</si>
  <si>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</si>
  <si>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</si>
  <si>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</si>
  <si>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</si>
  <si>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</si>
  <si>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</si>
  <si>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</si>
  <si>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</si>
  <si>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</si>
  <si>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</si>
  <si>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</si>
  <si>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</si>
  <si>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</si>
  <si>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</si>
  <si>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</si>
  <si>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</si>
  <si>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</si>
  <si>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</si>
  <si>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</si>
  <si>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</si>
  <si>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</si>
  <si>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</si>
  <si>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</si>
  <si>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</si>
  <si>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</si>
  <si>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</si>
  <si>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</si>
  <si>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</si>
  <si>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</si>
  <si>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</si>
  <si>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</si>
  <si>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</si>
  <si>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</si>
  <si>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</si>
  <si>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</si>
  <si>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</si>
  <si>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</si>
  <si>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</si>
  <si>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</si>
  <si>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</si>
  <si>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</si>
  <si>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</si>
  <si>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</si>
  <si>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</si>
  <si>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</si>
  <si>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</si>
  <si>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</si>
  <si>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</si>
  <si>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</si>
  <si>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</si>
  <si>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</si>
  <si>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</si>
  <si>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</si>
  <si>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</si>
  <si>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</si>
  <si>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</si>
  <si>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</si>
  <si>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</si>
  <si>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</si>
  <si>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</si>
  <si>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</si>
  <si>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</si>
  <si>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</si>
  <si>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</si>
  <si>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</si>
  <si>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</si>
  <si>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</si>
  <si>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</si>
  <si>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</si>
  <si>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</si>
  <si>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</si>
  <si>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</si>
  <si>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</si>
  <si>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</si>
  <si>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</si>
  <si>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</si>
  <si>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</si>
  <si>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</si>
  <si>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</si>
  <si>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</si>
  <si>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</si>
  <si>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</si>
  <si>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</si>
  <si>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</si>
  <si>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</si>
  <si>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</si>
  <si>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</si>
  <si>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</si>
  <si>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</si>
  <si>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</si>
  <si>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</si>
  <si>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</si>
  <si>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</si>
  <si>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</si>
  <si>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</si>
  <si>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</si>
  <si>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</si>
  <si>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</si>
  <si>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</si>
  <si>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</si>
  <si>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</si>
  <si>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</si>
  <si>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</si>
  <si>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</si>
  <si>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</si>
  <si>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</si>
  <si>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</si>
  <si>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</si>
  <si>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</si>
  <si>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</si>
  <si>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</si>
  <si>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</si>
  <si>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</si>
  <si>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</si>
  <si>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</si>
  <si>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</si>
  <si>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</si>
  <si>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</si>
  <si>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</si>
  <si>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</si>
  <si>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</si>
  <si>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</si>
  <si>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</si>
  <si>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</si>
  <si>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</si>
  <si>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</si>
  <si>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</si>
  <si>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</si>
  <si>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</si>
  <si>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</si>
  <si>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</si>
  <si>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</si>
  <si>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</si>
  <si>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</si>
  <si>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</si>
  <si>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</si>
  <si>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</si>
  <si>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</si>
  <si>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</si>
  <si>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</si>
  <si>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</si>
  <si>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</si>
  <si>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</si>
  <si>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</si>
  <si>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</si>
  <si>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</si>
  <si>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</si>
  <si>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</si>
  <si>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</si>
  <si>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</si>
  <si>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</si>
  <si>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</si>
  <si>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</si>
  <si>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</si>
  <si>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</si>
  <si>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</si>
  <si>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</si>
  <si>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</si>
  <si>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</si>
  <si>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</si>
  <si>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</si>
  <si>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</si>
  <si>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</si>
  <si>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</si>
  <si>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</si>
  <si>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</si>
  <si>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</si>
  <si>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</si>
  <si>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</si>
  <si>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</si>
  <si>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</si>
  <si>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</si>
  <si>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</si>
  <si>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</si>
  <si>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</si>
  <si>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</si>
  <si>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</si>
  <si>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</si>
  <si>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</si>
  <si>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</si>
  <si>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</si>
  <si>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</si>
  <si>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</si>
  <si>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</si>
  <si>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</si>
  <si>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</si>
  <si>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</si>
  <si>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</si>
  <si>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</si>
  <si>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</si>
  <si>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</si>
  <si>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</si>
  <si>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</si>
  <si>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</si>
  <si>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</si>
  <si>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</si>
  <si>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</si>
  <si>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</si>
  <si>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</si>
  <si>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</si>
  <si>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</si>
  <si>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</si>
  <si>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</si>
  <si>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</si>
  <si>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</si>
  <si>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</si>
  <si>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</si>
  <si>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</si>
  <si>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</si>
  <si>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</si>
  <si>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</si>
  <si>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</si>
  <si>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</si>
  <si>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</si>
  <si>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</si>
  <si>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</si>
  <si>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</si>
  <si>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</si>
  <si>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</si>
  <si>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</si>
  <si>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</si>
  <si>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</si>
  <si>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</si>
  <si>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</si>
  <si>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</si>
  <si>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</si>
  <si>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</si>
  <si>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</si>
  <si>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</si>
  <si>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</si>
  <si>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</si>
  <si>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</si>
  <si>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</si>
  <si>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</si>
  <si>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</si>
  <si>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</si>
  <si>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</si>
  <si>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</si>
  <si>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</si>
  <si>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</si>
  <si>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</si>
  <si>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</si>
  <si>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</si>
  <si>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</si>
  <si>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</si>
  <si>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</si>
  <si>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</si>
  <si>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</si>
  <si>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</si>
  <si>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</si>
  <si>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</si>
  <si>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</si>
  <si>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</si>
  <si>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</si>
  <si>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</si>
  <si>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</si>
  <si>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</si>
  <si>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</si>
  <si>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</si>
  <si>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</si>
  <si>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</si>
  <si>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</si>
  <si>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</si>
  <si>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</si>
  <si>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</si>
  <si>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</si>
  <si>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</si>
  <si>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</si>
  <si>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</si>
  <si>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</si>
  <si>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</si>
  <si>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</si>
  <si>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</si>
  <si>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</si>
  <si>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</si>
  <si>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</si>
  <si>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</si>
  <si>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</si>
  <si>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</si>
  <si>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</si>
  <si>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</si>
  <si>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</si>
  <si>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</si>
  <si>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</si>
  <si>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</si>
  <si>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</si>
  <si>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</si>
  <si>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</si>
  <si>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</si>
  <si>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</si>
  <si>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</si>
  <si>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</si>
  <si>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</si>
  <si>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</si>
  <si>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</si>
  <si>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</si>
  <si>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</si>
  <si>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</si>
  <si>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</si>
  <si>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</si>
  <si>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</si>
  <si>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</si>
  <si>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</si>
  <si>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</si>
  <si>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</si>
  <si>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</si>
  <si>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</si>
  <si>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</si>
  <si>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</si>
  <si>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</si>
  <si>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</si>
  <si>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</si>
  <si>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</si>
  <si>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</si>
  <si>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</si>
  <si>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</si>
  <si>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</si>
  <si>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</si>
  <si>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</si>
  <si>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</si>
  <si>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</si>
  <si>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</si>
  <si>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</si>
  <si>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</si>
  <si>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</si>
  <si>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</si>
  <si>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</si>
  <si>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</si>
  <si>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</si>
  <si>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</si>
  <si>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</si>
  <si>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</si>
  <si>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</si>
  <si>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</si>
  <si>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</si>
  <si>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</si>
  <si>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</si>
  <si>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</si>
  <si>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</si>
  <si>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</si>
  <si>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</si>
  <si>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</si>
  <si>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</si>
  <si>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</si>
  <si>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</si>
  <si>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</si>
  <si>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</si>
  <si>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</si>
  <si>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</si>
  <si>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</si>
  <si>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</si>
  <si>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</si>
  <si>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</si>
  <si>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</si>
  <si>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</si>
  <si>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</si>
  <si>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</si>
  <si>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</si>
  <si>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</si>
  <si>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</si>
  <si>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</si>
  <si>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</si>
  <si>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</si>
  <si>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</si>
  <si>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</si>
  <si>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</si>
  <si>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</si>
  <si>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</si>
  <si>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</si>
  <si>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</si>
  <si>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</si>
  <si>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</si>
  <si>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</si>
  <si>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</si>
  <si>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</si>
  <si>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</si>
  <si>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</si>
  <si>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</si>
  <si>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</si>
  <si>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</si>
  <si>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</si>
  <si>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</si>
  <si>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</si>
  <si>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</si>
  <si>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</si>
  <si>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</si>
  <si>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</si>
  <si>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</si>
  <si>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</si>
  <si>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</si>
  <si>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</si>
  <si>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</si>
  <si>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</si>
  <si>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</si>
  <si>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</si>
  <si>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</si>
  <si>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</si>
  <si>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</si>
  <si>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</si>
  <si>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</si>
  <si>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</si>
  <si>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</si>
  <si>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</si>
  <si>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</si>
  <si>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</si>
  <si>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</si>
  <si>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</si>
  <si>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</si>
  <si>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</si>
  <si>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</si>
  <si>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</si>
  <si>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</si>
  <si>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</si>
  <si>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</si>
  <si>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</si>
  <si>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</si>
  <si>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</si>
  <si>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</si>
  <si>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</si>
  <si>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</si>
  <si>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</si>
  <si>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</si>
  <si>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</si>
  <si>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</si>
  <si>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</si>
  <si>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</si>
  <si>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</si>
  <si>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</si>
  <si>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</si>
  <si>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</si>
  <si>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</si>
  <si>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</si>
  <si>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</si>
  <si>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</si>
  <si>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</si>
  <si>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</si>
  <si>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</si>
  <si>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</si>
  <si>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</si>
  <si>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</si>
  <si>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</si>
  <si>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</si>
  <si>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</si>
  <si>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</si>
  <si>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</si>
  <si>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</si>
  <si>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</si>
  <si>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</si>
  <si>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</si>
  <si>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</si>
  <si>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</si>
  <si>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</si>
  <si>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</si>
  <si>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</si>
  <si>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</si>
  <si>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</si>
  <si>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</si>
  <si>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</si>
  <si>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</si>
  <si>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</si>
  <si>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</si>
  <si>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</si>
  <si>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</si>
  <si>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</si>
  <si>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</si>
  <si>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</si>
  <si>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</si>
  <si>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</si>
  <si>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</si>
  <si>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</si>
  <si>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</si>
  <si>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</si>
  <si>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</si>
  <si>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</si>
  <si>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</si>
  <si>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</si>
  <si>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</si>
  <si>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</si>
  <si>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</si>
  <si>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</si>
  <si>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</si>
  <si>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</si>
  <si>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</si>
  <si>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</si>
  <si>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</si>
  <si>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</si>
  <si>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</si>
  <si>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</si>
  <si>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</si>
  <si>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</si>
  <si>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</si>
  <si>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</si>
  <si>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</si>
  <si>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</si>
  <si>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</si>
  <si>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</si>
  <si>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</si>
  <si>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</si>
  <si>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</si>
  <si>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</si>
  <si>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</si>
  <si>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</si>
  <si>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</si>
  <si>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</si>
  <si>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</si>
  <si>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</si>
  <si>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</si>
  <si>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</si>
  <si>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</si>
  <si>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</si>
  <si>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</si>
  <si>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</si>
  <si>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</si>
  <si>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</si>
  <si>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</si>
  <si>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</si>
  <si>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</si>
  <si>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</si>
  <si>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</si>
  <si>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</si>
  <si>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</si>
  <si>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</si>
  <si>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</si>
  <si>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</si>
  <si>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</si>
  <si>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</si>
  <si>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</si>
  <si>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</si>
  <si>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</si>
  <si>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</si>
  <si>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</si>
  <si>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</si>
  <si>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</si>
  <si>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</si>
  <si>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</si>
  <si>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</si>
  <si>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</si>
  <si>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</si>
  <si>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</si>
  <si>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</si>
  <si>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</si>
  <si>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</si>
  <si>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</si>
  <si>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</si>
  <si>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</si>
  <si>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</si>
  <si>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</si>
  <si>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</si>
  <si>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</si>
  <si>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</si>
  <si>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</si>
  <si>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</si>
  <si>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</si>
  <si>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</si>
  <si>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</si>
  <si>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</si>
  <si>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</si>
  <si>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</si>
  <si>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</si>
  <si>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</si>
  <si>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</si>
  <si>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</si>
  <si>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</si>
  <si>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</si>
  <si>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</si>
  <si>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</si>
  <si>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</si>
  <si>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</si>
  <si>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</si>
  <si>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</si>
  <si>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</si>
  <si>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</si>
  <si>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</si>
  <si>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</si>
  <si>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</si>
  <si>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</si>
  <si>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</si>
  <si>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</si>
  <si>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</si>
  <si>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</si>
  <si>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</si>
  <si>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</si>
  <si>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</si>
  <si>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</si>
  <si>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</si>
  <si>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</si>
  <si>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</si>
  <si>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</si>
  <si>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</si>
  <si>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</si>
  <si>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</si>
  <si>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</si>
  <si>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</si>
  <si>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</si>
  <si>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</si>
  <si>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</si>
  <si>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</si>
  <si>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</si>
  <si>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</si>
  <si>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</si>
  <si>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</si>
  <si>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</si>
  <si>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</si>
  <si>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</si>
  <si>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</si>
  <si>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</si>
  <si>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</si>
  <si>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</si>
  <si>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</si>
  <si>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</si>
  <si>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</si>
  <si>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</si>
  <si>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</si>
  <si>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</si>
  <si>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</si>
  <si>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</si>
  <si>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</si>
  <si>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</si>
  <si>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</si>
  <si>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</si>
  <si>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</si>
  <si>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</si>
  <si>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</si>
  <si>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</si>
  <si>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</si>
  <si>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</si>
  <si>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</si>
  <si>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</si>
  <si>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</si>
  <si>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</si>
  <si>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</si>
  <si>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</si>
  <si>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</si>
  <si>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</si>
  <si>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</si>
  <si>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</si>
  <si>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</si>
  <si>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</si>
  <si>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</si>
  <si>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</si>
  <si>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</si>
  <si>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</si>
  <si>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</si>
  <si>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</si>
  <si>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</si>
  <si>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</si>
  <si>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</si>
  <si>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</si>
  <si>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</si>
  <si>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</si>
  <si>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</si>
  <si>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</si>
  <si>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</si>
  <si>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</si>
  <si>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</si>
  <si>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</si>
  <si>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</si>
  <si>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</si>
  <si>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</si>
  <si>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</si>
  <si>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</si>
  <si>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</si>
  <si>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</si>
  <si>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</si>
  <si>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</si>
  <si>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</si>
  <si>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</si>
  <si>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</si>
  <si>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</si>
  <si>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</si>
  <si>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</si>
  <si>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</si>
  <si>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</si>
  <si>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</si>
  <si>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</si>
  <si>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</si>
  <si>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</si>
  <si>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</si>
  <si>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</si>
  <si>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</si>
  <si>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</si>
  <si>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</si>
  <si>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</si>
  <si>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</si>
  <si>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</si>
  <si>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</si>
  <si>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</si>
  <si>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</si>
  <si>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</si>
  <si>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</si>
  <si>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</si>
  <si>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</si>
  <si>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</si>
  <si>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</si>
  <si>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</si>
  <si>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</si>
  <si>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</si>
  <si>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</si>
  <si>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</si>
  <si>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</si>
  <si>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</si>
  <si>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</si>
  <si>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</si>
  <si>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</si>
  <si>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</si>
  <si>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</si>
  <si>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</si>
  <si>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</si>
  <si>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</si>
  <si>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</si>
  <si>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</si>
  <si>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</si>
  <si>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</si>
  <si>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</si>
  <si>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</si>
  <si>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</si>
  <si>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</si>
  <si>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</si>
  <si>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</si>
  <si>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</si>
  <si>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</si>
  <si>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</si>
  <si>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</si>
  <si>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</si>
  <si>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</si>
  <si>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</si>
  <si>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</si>
  <si>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</si>
  <si>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</si>
  <si>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</si>
  <si>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</si>
  <si>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</si>
  <si>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</si>
  <si>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</si>
  <si>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</si>
  <si>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</si>
  <si>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</si>
  <si>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</si>
  <si>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</si>
  <si>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</si>
  <si>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</si>
  <si>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</si>
  <si>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</si>
  <si>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</si>
  <si>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</si>
  <si>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</si>
  <si>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</si>
  <si>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</si>
  <si>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</si>
  <si>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</si>
  <si>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</si>
  <si>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</si>
  <si>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</si>
  <si>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</si>
  <si>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</si>
  <si>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</si>
  <si>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</si>
  <si>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</si>
  <si>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</si>
  <si>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</si>
  <si>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</si>
  <si>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</si>
  <si>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</si>
  <si>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</si>
  <si>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</si>
  <si>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</si>
  <si>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</si>
  <si>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</si>
  <si>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</si>
  <si>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</si>
  <si>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</si>
  <si>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</si>
  <si>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</si>
  <si>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</si>
  <si>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</si>
  <si>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</si>
  <si>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</si>
  <si>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</si>
  <si>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</si>
  <si>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</si>
  <si>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</si>
  <si>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</si>
  <si>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</si>
  <si>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</si>
  <si>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</si>
  <si>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</si>
  <si>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</si>
  <si>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</si>
  <si>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</si>
  <si>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</si>
  <si>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</si>
  <si>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</si>
  <si>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</si>
  <si>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</si>
  <si>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</si>
  <si>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</si>
  <si>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</si>
  <si>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</si>
  <si>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</si>
  <si>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</si>
  <si>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</si>
  <si>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</si>
  <si>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</si>
  <si>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</si>
  <si>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</si>
  <si>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</si>
  <si>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</si>
  <si>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</si>
  <si>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</si>
  <si>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</si>
  <si>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</si>
  <si>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</si>
  <si>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</si>
  <si>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</si>
  <si>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</si>
  <si>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</si>
  <si>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</si>
  <si>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</si>
  <si>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</si>
  <si>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</si>
  <si>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</si>
  <si>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</si>
  <si>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</si>
  <si>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</si>
  <si>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</si>
  <si>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</si>
  <si>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</si>
  <si>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</si>
  <si>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</si>
  <si>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</si>
  <si>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</si>
  <si>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</si>
  <si>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</si>
  <si>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</si>
  <si>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</si>
  <si>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</si>
  <si>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</si>
  <si>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</si>
  <si>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</si>
  <si>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</si>
  <si>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</si>
  <si>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</si>
  <si>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</si>
  <si>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</si>
  <si>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</si>
  <si>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</si>
  <si>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</si>
  <si>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</si>
  <si>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</si>
  <si>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</si>
  <si>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</si>
  <si>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</si>
  <si>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</si>
  <si>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</si>
  <si>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</si>
  <si>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</si>
  <si>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</si>
  <si>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</si>
  <si>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</si>
  <si>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</si>
  <si>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</si>
  <si>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</si>
  <si>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</si>
  <si>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</si>
  <si>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</si>
  <si>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</si>
  <si>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</si>
  <si>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</si>
  <si>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</si>
  <si>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</si>
  <si>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</si>
  <si>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</si>
  <si>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</si>
  <si>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</si>
  <si>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</si>
  <si>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</si>
  <si>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</si>
  <si>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</si>
  <si>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</si>
  <si>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</si>
  <si>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</si>
  <si>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</si>
  <si>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</si>
  <si>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</si>
  <si>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</si>
  <si>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</si>
  <si>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</si>
  <si>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</si>
  <si>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</si>
  <si>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</si>
  <si>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</si>
  <si>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</si>
  <si>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</si>
  <si>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</si>
  <si>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</si>
  <si>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</si>
  <si>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</si>
  <si>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</si>
  <si>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</si>
  <si>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</si>
  <si>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</si>
  <si>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</si>
  <si>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</si>
  <si>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</si>
  <si>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</si>
  <si>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</si>
  <si>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</si>
  <si>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</si>
  <si>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</si>
  <si>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</si>
  <si>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</si>
  <si>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</si>
  <si>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</si>
  <si>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</si>
  <si>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</si>
  <si>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</si>
  <si>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</si>
  <si>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</si>
  <si>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</si>
  <si>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</si>
  <si>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</si>
  <si>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</si>
  <si>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</si>
  <si>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</si>
  <si>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</si>
  <si>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</si>
  <si>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</si>
  <si>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</si>
  <si>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</si>
  <si>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</si>
  <si>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</si>
  <si>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</si>
  <si>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</si>
  <si>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</si>
  <si>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</si>
  <si>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</si>
  <si>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</si>
  <si>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</si>
  <si>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</si>
  <si>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</si>
  <si>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</si>
  <si>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</si>
  <si>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</si>
  <si>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</si>
  <si>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</si>
  <si>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</si>
  <si>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</si>
  <si>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</si>
  <si>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</si>
  <si>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</si>
  <si>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</si>
  <si>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</si>
  <si>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</si>
  <si>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</si>
  <si>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</si>
  <si>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</si>
  <si>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</si>
  <si>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</si>
  <si>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</si>
  <si>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</si>
  <si>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</si>
  <si>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</si>
  <si>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</si>
  <si>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</si>
  <si>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</si>
  <si>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</si>
  <si>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</si>
  <si>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</si>
  <si>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</si>
  <si>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</si>
  <si>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</si>
  <si>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</si>
  <si>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</si>
  <si>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</si>
  <si>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</si>
  <si>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</si>
  <si>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</si>
  <si>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</si>
  <si>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</si>
  <si>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</si>
  <si>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</si>
  <si>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</si>
  <si>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</si>
  <si>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</si>
  <si>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</si>
  <si>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</si>
  <si>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</si>
  <si>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</si>
  <si>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</si>
  <si>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</si>
  <si>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</si>
  <si>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</si>
  <si>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</si>
  <si>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</si>
  <si>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</si>
  <si>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</si>
  <si>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</si>
  <si>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</si>
  <si>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</si>
  <si>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</si>
  <si>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</si>
  <si>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</si>
  <si>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</si>
  <si>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</si>
  <si>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</si>
  <si>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</si>
  <si>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</si>
  <si>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</si>
  <si>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</si>
  <si>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</si>
  <si>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</si>
  <si>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</si>
  <si>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</si>
  <si>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</si>
  <si>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</si>
  <si>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</si>
  <si>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</si>
  <si>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</si>
  <si>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</si>
  <si>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</si>
  <si>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</si>
  <si>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</si>
  <si>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</si>
  <si>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</si>
  <si>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</si>
  <si>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</si>
  <si>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</si>
  <si>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</si>
  <si>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</si>
  <si>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</si>
  <si>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</si>
  <si>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</si>
  <si>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</si>
  <si>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</si>
  <si>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</si>
  <si>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</si>
  <si>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</si>
  <si>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</si>
  <si>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</si>
  <si>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</si>
  <si>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</si>
  <si>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</si>
  <si>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</si>
  <si>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</si>
  <si>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</si>
  <si>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</si>
  <si>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</si>
  <si>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</si>
  <si>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</si>
  <si>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</si>
  <si>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</si>
  <si>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</si>
  <si>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</si>
  <si>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</si>
  <si>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</si>
  <si>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</si>
  <si>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</si>
  <si>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</si>
  <si>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</si>
  <si>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</si>
  <si>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</si>
  <si>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</si>
  <si>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</si>
  <si>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</si>
  <si>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</si>
  <si>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</si>
  <si>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</si>
  <si>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</si>
  <si>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</si>
  <si>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</si>
  <si>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</si>
  <si>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</si>
  <si>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</si>
  <si>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</si>
  <si>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</si>
  <si>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</si>
  <si>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</si>
  <si>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</si>
  <si>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</si>
  <si>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</si>
  <si>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</si>
  <si>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</si>
  <si>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</si>
  <si>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</si>
  <si>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</si>
  <si>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</si>
  <si>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</si>
  <si>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</si>
  <si>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</si>
  <si>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</si>
  <si>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</si>
  <si>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</si>
  <si>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</si>
  <si>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</si>
  <si>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</si>
  <si>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</si>
  <si>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</si>
  <si>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</si>
  <si>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</si>
  <si>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</si>
  <si>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</si>
  <si>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</si>
  <si>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</si>
  <si>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</si>
  <si>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</si>
  <si>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</si>
  <si>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</si>
  <si>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</si>
  <si>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</si>
  <si>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</si>
  <si>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</si>
  <si>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</si>
  <si>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</si>
  <si>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</si>
  <si>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</si>
  <si>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</si>
  <si>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</si>
  <si>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</si>
  <si>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</si>
  <si>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</si>
  <si>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</si>
  <si>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</si>
  <si>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</si>
  <si>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</si>
  <si>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</si>
  <si>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</si>
  <si>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</si>
  <si>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</si>
  <si>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</si>
  <si>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</si>
  <si>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</si>
  <si>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</si>
  <si>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</si>
  <si>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</si>
  <si>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</si>
  <si>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</si>
  <si>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</si>
  <si>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</si>
  <si>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</si>
  <si>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</si>
  <si>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</si>
  <si>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</si>
  <si>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</si>
  <si>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</si>
  <si>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</si>
  <si>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</si>
  <si>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</si>
  <si>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</si>
  <si>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</si>
  <si>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</si>
  <si>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</si>
  <si>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</si>
  <si>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</si>
  <si>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</si>
  <si>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</si>
  <si>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</si>
  <si>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</si>
  <si>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</si>
  <si>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</si>
  <si>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</si>
  <si>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</si>
  <si>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</si>
  <si>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</si>
  <si>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</si>
  <si>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</si>
  <si>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</si>
  <si>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</si>
  <si>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</si>
  <si>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</si>
  <si>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</si>
  <si>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</si>
  <si>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</si>
  <si>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</si>
  <si>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</si>
  <si>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</si>
  <si>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</si>
  <si>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</si>
  <si>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</si>
  <si>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</si>
  <si>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</si>
  <si>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</si>
  <si>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</si>
  <si>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</si>
  <si>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</si>
  <si>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</si>
  <si>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</si>
  <si>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</si>
  <si>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</si>
  <si>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</si>
  <si>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</si>
  <si>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</si>
  <si>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</si>
  <si>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</si>
  <si>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</si>
  <si>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</si>
  <si>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</si>
  <si>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</si>
  <si>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</si>
  <si>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</si>
  <si>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</si>
  <si>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</si>
  <si>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</si>
  <si>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</si>
  <si>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</si>
  <si>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</si>
  <si>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</si>
  <si>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</si>
  <si>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</si>
  <si>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</si>
  <si>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</si>
  <si>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</si>
  <si>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</si>
  <si>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</si>
  <si>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</si>
  <si>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</si>
  <si>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</si>
  <si>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</si>
  <si>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</si>
  <si>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</si>
  <si>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</si>
  <si>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</si>
  <si>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</si>
  <si>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</si>
  <si>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</si>
  <si>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</si>
  <si>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</si>
  <si>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</si>
  <si>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</si>
  <si>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</si>
  <si>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</si>
  <si>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</si>
  <si>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</si>
  <si>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</si>
  <si>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</si>
  <si>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</si>
  <si>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</si>
  <si>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</si>
  <si>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</si>
  <si>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</si>
  <si>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</si>
  <si>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</si>
  <si>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</si>
  <si>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</si>
  <si>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</si>
  <si>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</si>
  <si>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</si>
  <si>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</si>
  <si>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</si>
  <si>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</si>
  <si>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</si>
  <si>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</si>
  <si>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</si>
  <si>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</si>
  <si>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</si>
  <si>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</si>
  <si>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</si>
  <si>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</si>
  <si>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</si>
  <si>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</si>
  <si>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</si>
  <si>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</si>
  <si>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</si>
  <si>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</si>
  <si>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</si>
  <si>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</si>
  <si>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</si>
  <si>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</si>
  <si>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</si>
  <si>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</si>
  <si>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</si>
  <si>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</si>
  <si>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</si>
  <si>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</si>
  <si>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</si>
  <si>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</si>
  <si>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</si>
  <si>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</si>
  <si>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</si>
  <si>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</si>
  <si>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</si>
  <si>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</si>
  <si>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</si>
  <si>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</si>
  <si>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</si>
  <si>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</si>
  <si>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</si>
  <si>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</si>
  <si>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</si>
  <si>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</si>
  <si>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</si>
  <si>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</si>
  <si>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</si>
  <si>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</si>
  <si>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</si>
  <si>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</si>
  <si>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</si>
  <si>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</si>
  <si>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</si>
  <si>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</si>
  <si>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</si>
  <si>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</si>
  <si>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</si>
  <si>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</si>
  <si>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</si>
  <si>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</si>
  <si>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</si>
  <si>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</si>
  <si>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</si>
  <si>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</si>
  <si>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</si>
  <si>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</si>
  <si>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</si>
  <si>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</si>
  <si>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</si>
  <si>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</si>
  <si>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</si>
  <si>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</si>
  <si>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</si>
  <si>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</si>
  <si>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</si>
  <si>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</si>
  <si>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</si>
  <si>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</si>
  <si>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</si>
  <si>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</si>
  <si>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</si>
  <si>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</si>
  <si>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</si>
  <si>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</si>
  <si>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</si>
  <si>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</si>
  <si>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</si>
  <si>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</si>
  <si>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</si>
  <si>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</si>
  <si>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</si>
  <si>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</si>
  <si>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</si>
  <si>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</si>
  <si>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</si>
  <si>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</si>
  <si>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</si>
  <si>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</si>
  <si>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</si>
  <si>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</si>
  <si>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</si>
  <si>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</si>
  <si>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</si>
  <si>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</si>
  <si>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</si>
  <si>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</si>
  <si>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</si>
  <si>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</si>
  <si>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</si>
  <si>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</si>
  <si>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</si>
  <si>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</si>
  <si>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</si>
  <si>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</si>
  <si>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</si>
  <si>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</si>
  <si>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</si>
  <si>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</si>
  <si>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</si>
  <si>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</si>
  <si>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</si>
  <si>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</si>
  <si>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</si>
  <si>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</si>
  <si>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</si>
  <si>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</si>
  <si>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</si>
  <si>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</si>
  <si>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</si>
  <si>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</si>
  <si>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</si>
  <si>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</si>
  <si>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</si>
  <si>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</si>
  <si>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</si>
  <si>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</si>
  <si>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</si>
  <si>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</si>
  <si>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</si>
  <si>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</si>
  <si>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</si>
  <si>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</si>
  <si>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</si>
  <si>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</si>
  <si>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</si>
  <si>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</si>
  <si>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</si>
  <si>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</si>
  <si>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</si>
  <si>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</si>
  <si>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</si>
  <si>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</si>
  <si>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</si>
  <si>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</si>
  <si>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</si>
  <si>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</si>
  <si>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</si>
  <si>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</si>
  <si>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</si>
  <si>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</si>
  <si>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</si>
  <si>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</si>
  <si>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</si>
  <si>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</si>
  <si>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</si>
  <si>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</si>
  <si>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</si>
  <si>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</si>
  <si>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</si>
  <si>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</si>
  <si>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</si>
  <si>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</si>
  <si>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</si>
  <si>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</si>
  <si>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</si>
  <si>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</si>
  <si>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</si>
  <si>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</si>
  <si>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</si>
  <si>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</si>
  <si>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</si>
  <si>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</si>
  <si>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</si>
  <si>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</si>
  <si>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</si>
  <si>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</si>
  <si>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</si>
  <si>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</si>
  <si>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</si>
  <si>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</si>
  <si>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</si>
  <si>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</si>
  <si>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</si>
  <si>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</si>
  <si>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</si>
  <si>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</si>
  <si>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</si>
  <si>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</si>
  <si>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</si>
  <si>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</si>
  <si>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</si>
  <si>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</si>
  <si>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</si>
  <si>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</si>
  <si>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</si>
  <si>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</si>
  <si>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</si>
  <si>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</si>
  <si>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</si>
  <si>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</si>
  <si>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</si>
  <si>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</si>
  <si>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</si>
  <si>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</si>
  <si>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</si>
  <si>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</si>
  <si>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</si>
  <si>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</si>
  <si>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</si>
  <si>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</si>
  <si>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</si>
  <si>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</si>
  <si>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</si>
  <si>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</si>
  <si>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</si>
  <si>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</si>
  <si>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</si>
  <si>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</si>
  <si>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</si>
  <si>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</si>
  <si>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</si>
  <si>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</si>
  <si>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</si>
  <si>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</si>
  <si>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</si>
  <si>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</si>
  <si>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</si>
  <si>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</si>
  <si>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</si>
  <si>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</si>
  <si>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</si>
  <si>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</si>
  <si>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</si>
  <si>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</si>
  <si>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</si>
  <si>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</si>
  <si>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</si>
  <si>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</si>
  <si>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</si>
  <si>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</si>
  <si>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</si>
  <si>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</si>
  <si>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</si>
  <si>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</si>
  <si>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</si>
  <si>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</si>
  <si>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</si>
  <si>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</si>
  <si>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</si>
  <si>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</si>
  <si>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</si>
  <si>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</si>
  <si>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</si>
  <si>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</si>
  <si>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</si>
  <si>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</si>
  <si>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</si>
  <si>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</si>
  <si>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</si>
  <si>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</si>
  <si>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</si>
  <si>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</si>
  <si>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</si>
  <si>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</si>
  <si>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</si>
  <si>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</si>
  <si>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</si>
  <si>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</si>
  <si>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</si>
  <si>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</si>
  <si>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</si>
  <si>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</si>
  <si>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</si>
  <si>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</si>
  <si>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</si>
  <si>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</si>
  <si>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</si>
  <si>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</si>
  <si>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</si>
  <si>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</si>
  <si>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</si>
  <si>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</si>
  <si>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</si>
  <si>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</si>
  <si>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</si>
  <si>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</si>
  <si>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</si>
  <si>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</si>
  <si>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</si>
  <si>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</si>
  <si>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</si>
  <si>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</si>
  <si>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</si>
  <si>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</si>
  <si>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</si>
  <si>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</si>
  <si>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</si>
  <si>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</si>
  <si>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</si>
  <si>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</si>
  <si>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</si>
  <si>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</si>
  <si>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</si>
  <si>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</si>
  <si>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</si>
  <si>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</si>
  <si>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</si>
  <si>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</si>
  <si>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</si>
  <si>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</si>
  <si>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</si>
  <si>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</si>
  <si>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</si>
  <si>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</si>
  <si>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</si>
  <si>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</si>
  <si>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</si>
  <si>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</si>
  <si>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</si>
  <si>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</si>
  <si>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</si>
  <si>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</si>
  <si>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</si>
  <si>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</si>
  <si>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</si>
  <si>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</si>
  <si>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</si>
  <si>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</si>
  <si>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</si>
  <si>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</si>
  <si>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</si>
  <si>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</si>
  <si>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</si>
  <si>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</si>
  <si>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</si>
  <si>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</si>
  <si>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</si>
  <si>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</si>
  <si>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</si>
  <si>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</si>
  <si>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</si>
  <si>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</si>
  <si>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</si>
  <si>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</si>
  <si>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</si>
  <si>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</si>
  <si>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</si>
  <si>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</si>
  <si>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</si>
  <si>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</si>
  <si>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</si>
  <si>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</si>
  <si>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</si>
  <si>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</si>
  <si>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</si>
  <si>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</si>
  <si>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</si>
  <si>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</si>
  <si>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</si>
  <si>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</si>
  <si>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</si>
  <si>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</si>
  <si>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</si>
  <si>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</si>
  <si>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</si>
  <si>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</si>
  <si>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</si>
  <si>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</si>
  <si>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</si>
  <si>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</si>
  <si>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</si>
  <si>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</si>
  <si>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</si>
  <si>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</si>
  <si>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</si>
  <si>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</si>
  <si>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</si>
  <si>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</si>
  <si>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</si>
  <si>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</si>
  <si>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</si>
  <si>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</si>
  <si>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</si>
  <si>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</si>
  <si>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</si>
  <si>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</si>
  <si>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</si>
  <si>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</si>
  <si>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</si>
  <si>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</si>
  <si>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</si>
  <si>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</si>
  <si>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</si>
  <si>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</si>
  <si>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</si>
  <si>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</si>
  <si>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</si>
  <si>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</si>
  <si>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</si>
  <si>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</si>
  <si>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</si>
  <si>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</si>
  <si>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</si>
  <si>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</si>
  <si>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</si>
  <si>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</si>
  <si>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</si>
  <si>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</si>
  <si>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</si>
  <si>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</si>
  <si>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</si>
  <si>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</si>
  <si>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</si>
  <si>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</si>
  <si>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</si>
  <si>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</si>
  <si>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</si>
  <si>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</si>
  <si>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</si>
  <si>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</si>
  <si>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</si>
  <si>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</si>
  <si>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</si>
  <si>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</si>
  <si>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</si>
  <si>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</si>
  <si>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</si>
  <si>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</si>
  <si>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</si>
  <si>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</si>
  <si>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</si>
  <si>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</si>
  <si>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</si>
  <si>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</si>
  <si>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</si>
  <si>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</si>
  <si>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</si>
  <si>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</si>
  <si>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</si>
  <si>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</si>
  <si>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</si>
  <si>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</si>
  <si>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</si>
  <si>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</si>
  <si>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</si>
  <si>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</si>
  <si>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</si>
  <si>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</si>
  <si>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</si>
  <si>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</si>
  <si>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</si>
  <si>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</si>
  <si>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</si>
  <si>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</si>
  <si>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</si>
  <si>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</si>
  <si>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</si>
  <si>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</si>
  <si>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</si>
  <si>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</si>
  <si>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</si>
  <si>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</si>
  <si>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</si>
  <si>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</si>
  <si>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</si>
  <si>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</si>
  <si>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</si>
  <si>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</si>
  <si>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</si>
  <si>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</si>
  <si>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</si>
  <si>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</si>
  <si>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</si>
  <si>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</si>
  <si>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</si>
  <si>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</si>
  <si>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</si>
  <si>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</si>
  <si>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</si>
  <si>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</si>
  <si>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</si>
  <si>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</si>
  <si>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</si>
  <si>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</si>
  <si>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</si>
  <si>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</si>
  <si>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</si>
  <si>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</si>
  <si>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</si>
  <si>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</si>
  <si>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</si>
  <si>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</si>
  <si>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</si>
  <si>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</si>
  <si>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</si>
  <si>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</si>
  <si>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</si>
  <si>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</si>
  <si>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</si>
  <si>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</si>
  <si>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</si>
  <si>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</si>
  <si>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</si>
  <si>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</si>
  <si>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</si>
  <si>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</si>
  <si>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</si>
  <si>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</si>
  <si>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</si>
  <si>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</si>
  <si>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</si>
  <si>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</si>
  <si>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</si>
  <si>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</si>
  <si>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</si>
  <si>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</si>
  <si>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</si>
  <si>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</si>
  <si>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</si>
  <si>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</si>
  <si>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</si>
  <si>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</si>
  <si>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</si>
  <si>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</si>
  <si>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</si>
  <si>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</si>
  <si>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</si>
  <si>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</si>
  <si>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</si>
  <si>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</si>
  <si>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</si>
  <si>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</si>
  <si>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</si>
  <si>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</si>
  <si>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</si>
  <si>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</si>
  <si>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</si>
  <si>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</si>
  <si>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</si>
  <si>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</si>
  <si>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</si>
  <si>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</si>
  <si>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</si>
  <si>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</si>
  <si>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</si>
  <si>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</si>
  <si>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</si>
  <si>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</si>
  <si>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</si>
  <si>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</si>
  <si>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</si>
  <si>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</si>
  <si>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</si>
  <si>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</si>
  <si>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</si>
  <si>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</si>
  <si>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</si>
  <si>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</si>
  <si>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</si>
  <si>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</si>
  <si>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</si>
  <si>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</si>
  <si>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</si>
  <si>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</si>
  <si>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</si>
  <si>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</si>
  <si>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</si>
  <si>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</si>
  <si>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</si>
  <si>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</si>
  <si>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</si>
  <si>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</si>
  <si>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</si>
  <si>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</si>
  <si>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</si>
  <si>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</si>
  <si>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</si>
  <si>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</si>
  <si>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</si>
  <si>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</si>
  <si>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</si>
  <si>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</si>
  <si>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</si>
  <si>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</si>
  <si>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</si>
  <si>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</si>
  <si>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</si>
  <si>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</si>
  <si>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</si>
  <si>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</si>
  <si>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</si>
  <si>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</si>
  <si>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</si>
  <si>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</si>
  <si>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</si>
  <si>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</si>
  <si>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</si>
  <si>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</si>
  <si>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</si>
  <si>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</si>
  <si>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</si>
  <si>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</si>
  <si>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</si>
  <si>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</si>
  <si>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</si>
  <si>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</si>
  <si>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</si>
  <si>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</si>
  <si>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</si>
  <si>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</si>
  <si>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</si>
  <si>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</si>
  <si>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</si>
  <si>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</si>
  <si>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</si>
  <si>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</si>
  <si>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</si>
  <si>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</si>
  <si>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</si>
  <si>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</si>
  <si>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</si>
  <si>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</si>
  <si>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</si>
  <si>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</si>
  <si>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</si>
  <si>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</si>
  <si>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</si>
  <si>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</si>
  <si>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</si>
  <si>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</si>
  <si>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</si>
  <si>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</si>
  <si>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</si>
  <si>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</si>
  <si>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</si>
  <si>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</si>
  <si>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</si>
  <si>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</si>
  <si>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</si>
  <si>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</si>
  <si>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</si>
  <si>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</si>
  <si>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</si>
  <si>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</si>
  <si>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</si>
  <si>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</si>
  <si>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</si>
  <si>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</si>
  <si>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</si>
  <si>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</si>
  <si>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</si>
  <si>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</si>
  <si>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</si>
  <si>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</si>
  <si>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</si>
  <si>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</si>
  <si>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</si>
  <si>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</si>
  <si>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</si>
  <si>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</si>
  <si>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</si>
  <si>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</si>
  <si>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</si>
  <si>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</si>
  <si>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</si>
  <si>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</si>
  <si>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</si>
  <si>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</si>
  <si>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</si>
  <si>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</si>
  <si>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</si>
  <si>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</si>
  <si>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</si>
  <si>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</si>
  <si>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</si>
  <si>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</si>
  <si>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</si>
  <si>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</si>
  <si>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</si>
  <si>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</si>
  <si>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</si>
  <si>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</si>
  <si>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</si>
  <si>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</si>
  <si>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</si>
  <si>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</si>
  <si>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</si>
  <si>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</si>
  <si>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</si>
  <si>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</si>
  <si>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</si>
  <si>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</si>
  <si>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</si>
  <si>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</si>
  <si>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</si>
  <si>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</si>
  <si>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</si>
  <si>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</si>
  <si>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</si>
  <si>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</si>
  <si>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</si>
  <si>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</si>
  <si>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</si>
  <si>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</si>
  <si>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</si>
  <si>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</si>
  <si>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</si>
  <si>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</si>
  <si>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</si>
  <si>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</si>
  <si>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</si>
  <si>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</si>
  <si>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</si>
  <si>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</si>
  <si>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</si>
  <si>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</si>
  <si>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</si>
  <si>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</si>
  <si>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</si>
  <si>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</si>
  <si>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</si>
  <si>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</si>
  <si>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</si>
  <si>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</si>
  <si>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</si>
  <si>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</si>
  <si>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</si>
  <si>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</si>
  <si>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</si>
  <si>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</si>
  <si>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</si>
  <si>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</si>
  <si>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</si>
  <si>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</si>
  <si>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</si>
  <si>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</si>
  <si>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</si>
  <si>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</si>
  <si>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</si>
  <si>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</si>
  <si>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</si>
  <si>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</si>
  <si>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</si>
  <si>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</si>
  <si>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</si>
  <si>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</si>
  <si>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</si>
  <si>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</si>
  <si>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</si>
  <si>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</si>
  <si>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</si>
  <si>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</si>
  <si>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</si>
  <si>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</si>
  <si>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</si>
  <si>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</si>
  <si>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</si>
  <si>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</si>
  <si>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</si>
  <si>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</si>
  <si>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</si>
  <si>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</si>
  <si>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</si>
  <si>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</si>
  <si>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</si>
  <si>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</si>
  <si>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</si>
  <si>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</si>
  <si>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</si>
  <si>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</si>
  <si>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</si>
  <si>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</si>
  <si>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</si>
  <si>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</si>
  <si>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</si>
  <si>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</si>
  <si>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</si>
  <si>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</si>
  <si>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</si>
  <si>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</si>
  <si>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</si>
  <si>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</si>
  <si>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</si>
  <si>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</si>
  <si>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</si>
  <si>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</si>
  <si>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</si>
  <si>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</si>
  <si>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</si>
  <si>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</si>
  <si>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</si>
  <si>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</si>
  <si>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</si>
  <si>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</si>
  <si>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</si>
  <si>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</si>
  <si>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</si>
  <si>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</si>
  <si>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</si>
  <si>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</si>
  <si>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</si>
  <si>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</si>
  <si>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</si>
  <si>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</si>
  <si>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</si>
  <si>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</si>
  <si>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</si>
  <si>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</si>
  <si>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</si>
  <si>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</si>
  <si>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</si>
  <si>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</si>
  <si>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</si>
  <si>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</si>
  <si>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</si>
  <si>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</si>
  <si>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</si>
  <si>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</si>
  <si>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</si>
  <si>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</si>
  <si>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</si>
  <si>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</si>
  <si>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</si>
  <si>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</si>
  <si>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</si>
  <si>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</si>
  <si>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</si>
  <si>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</si>
  <si>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</si>
  <si>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</si>
  <si>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</si>
  <si>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</si>
  <si>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</si>
  <si>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</si>
  <si>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</si>
  <si>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</si>
  <si>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</si>
  <si>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</si>
  <si>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</si>
  <si>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</si>
  <si>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</si>
  <si>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</si>
  <si>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</si>
  <si>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</si>
  <si>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</si>
  <si>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</si>
  <si>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</si>
  <si>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</si>
  <si>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</si>
  <si>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</si>
  <si>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</si>
  <si>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</si>
  <si>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</si>
  <si>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</si>
  <si>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</si>
  <si>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</si>
  <si>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</si>
  <si>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</si>
  <si>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</si>
  <si>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</si>
  <si>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</si>
  <si>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</si>
  <si>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</si>
  <si>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</si>
  <si>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</si>
  <si>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</si>
  <si>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</si>
  <si>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</si>
  <si>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</si>
  <si>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</si>
  <si>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</si>
  <si>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</si>
  <si>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</si>
  <si>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</si>
  <si>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</si>
  <si>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</si>
  <si>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</si>
  <si>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</si>
  <si>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</si>
  <si>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</si>
  <si>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</si>
  <si>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</si>
  <si>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</si>
  <si>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</si>
  <si>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</si>
  <si>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</si>
  <si>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</si>
  <si>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</si>
  <si>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</si>
  <si>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</si>
  <si>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</si>
  <si>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</si>
  <si>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</si>
  <si>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</si>
  <si>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</si>
  <si>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</si>
  <si>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</si>
  <si>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</si>
  <si>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</si>
  <si>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</si>
  <si>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</si>
  <si>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</si>
  <si>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</si>
  <si>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</si>
  <si>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</si>
  <si>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</si>
  <si>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</si>
  <si>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</si>
  <si>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</si>
  <si>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</si>
  <si>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</si>
  <si>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</si>
  <si>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</si>
  <si>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</si>
  <si>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</si>
  <si>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</si>
  <si>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</si>
  <si>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</si>
  <si>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</si>
  <si>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</si>
  <si>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</si>
  <si>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</si>
  <si>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</si>
  <si>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</si>
  <si>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</si>
  <si>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</si>
  <si>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</si>
  <si>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</si>
  <si>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</si>
  <si>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</si>
  <si>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</si>
  <si>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</si>
  <si>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</si>
  <si>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</si>
  <si>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</si>
  <si>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</si>
  <si>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</si>
  <si>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</si>
  <si>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</si>
  <si>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</si>
  <si>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</si>
  <si>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</si>
  <si>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</si>
  <si>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</si>
  <si>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</si>
  <si>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</si>
  <si>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</si>
  <si>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</si>
  <si>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</si>
  <si>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</si>
  <si>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</si>
  <si>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</si>
  <si>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</si>
  <si>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</si>
  <si>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</si>
  <si>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</si>
  <si>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</si>
  <si>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</si>
  <si>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</si>
  <si>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</si>
  <si>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</si>
  <si>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</si>
  <si>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</si>
  <si>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</si>
  <si>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</si>
  <si>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</si>
  <si>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</si>
  <si>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</si>
  <si>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</si>
  <si>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</si>
  <si>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</si>
  <si>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</si>
  <si>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</si>
  <si>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</si>
  <si>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</si>
  <si>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</si>
  <si>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</si>
  <si>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</si>
  <si>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</si>
  <si>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</si>
  <si>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</si>
  <si>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</si>
  <si>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</si>
  <si>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</si>
  <si>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</si>
  <si>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</si>
  <si>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</si>
  <si>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</si>
  <si>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</si>
  <si>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</si>
  <si>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</si>
  <si>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</si>
  <si>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</si>
  <si>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</si>
  <si>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</si>
  <si>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</si>
  <si>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</si>
  <si>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</si>
  <si>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</si>
  <si>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</si>
  <si>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</si>
  <si>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</si>
  <si>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</si>
  <si>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</si>
  <si>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</si>
  <si>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</si>
  <si>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</si>
  <si>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</si>
  <si>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</si>
  <si>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</si>
  <si>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</si>
  <si>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</si>
  <si>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</si>
  <si>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</si>
  <si>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</si>
  <si>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</si>
  <si>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</si>
  <si>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</si>
  <si>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</si>
  <si>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</si>
  <si>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</si>
  <si>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</si>
  <si>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</si>
  <si>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</si>
  <si>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</si>
  <si>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</si>
  <si>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</si>
  <si>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</si>
  <si>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</si>
  <si>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</si>
  <si>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</si>
  <si>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</si>
  <si>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</si>
  <si>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</si>
  <si>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</si>
  <si>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</si>
  <si>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</si>
  <si>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</si>
  <si>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</si>
  <si>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</si>
  <si>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</si>
  <si>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</si>
  <si>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</si>
  <si>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</si>
  <si>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</si>
  <si>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</si>
  <si>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</si>
  <si>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</si>
  <si>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</si>
  <si>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</si>
  <si>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</si>
  <si>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</si>
  <si>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</si>
  <si>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</si>
  <si>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</si>
  <si>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</si>
  <si>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</si>
  <si>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</si>
  <si>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</si>
  <si>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</si>
  <si>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</si>
  <si>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</si>
  <si>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</si>
  <si>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</si>
  <si>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</si>
  <si>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</si>
  <si>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</si>
  <si>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</si>
  <si>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</si>
  <si>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</si>
  <si>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</si>
  <si>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</si>
  <si>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</si>
  <si>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</si>
  <si>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</si>
  <si>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</si>
  <si>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</si>
  <si>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</si>
  <si>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</si>
  <si>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</si>
  <si>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</si>
  <si>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</si>
  <si>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</si>
  <si>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</si>
  <si>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</si>
  <si>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</si>
  <si>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</si>
  <si>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</si>
  <si>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</si>
  <si>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</si>
  <si>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</si>
  <si>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</si>
  <si>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</si>
  <si>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</si>
  <si>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</si>
  <si>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</si>
  <si>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</si>
  <si>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</si>
  <si>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</si>
  <si>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</si>
  <si>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</si>
  <si>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</si>
  <si>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</si>
  <si>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</si>
  <si>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</si>
  <si>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</si>
  <si>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</si>
  <si>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</si>
  <si>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</si>
  <si>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</si>
  <si>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</si>
  <si>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</si>
  <si>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</si>
  <si>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</si>
  <si>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</si>
  <si>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</si>
  <si>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</si>
  <si>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</si>
  <si>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</si>
  <si>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</si>
  <si>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</si>
  <si>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</si>
  <si>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</si>
  <si>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</si>
  <si>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</si>
  <si>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</si>
  <si>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</si>
  <si>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</si>
  <si>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</si>
  <si>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</si>
  <si>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</si>
  <si>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</si>
  <si>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</si>
  <si>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</si>
  <si>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</si>
  <si>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</si>
  <si>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</si>
  <si>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</si>
  <si>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</si>
  <si>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</si>
  <si>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</si>
  <si>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</si>
  <si>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</si>
  <si>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</si>
  <si>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</si>
  <si>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</si>
  <si>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</si>
  <si>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</si>
  <si>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</si>
  <si>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</si>
  <si>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</si>
  <si>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</si>
  <si>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</si>
  <si>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</si>
  <si>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</si>
  <si>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</si>
  <si>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</si>
  <si>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</si>
  <si>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</si>
  <si>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</si>
  <si>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</si>
  <si>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</si>
  <si>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</si>
  <si>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</si>
  <si>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</si>
  <si>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</si>
  <si>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</si>
  <si>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</si>
  <si>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</si>
  <si>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</si>
  <si>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</si>
  <si>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</si>
  <si>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</si>
  <si>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</si>
  <si>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</si>
  <si>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</si>
  <si>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</si>
  <si>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</si>
  <si>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</si>
  <si>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</si>
  <si>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</si>
  <si>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</si>
  <si>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</si>
  <si>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</si>
  <si>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</si>
  <si>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</si>
  <si>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</si>
  <si>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</si>
  <si>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</si>
  <si>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</si>
  <si>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</si>
  <si>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</si>
  <si>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</si>
  <si>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</si>
  <si>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</si>
  <si>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</si>
  <si>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</si>
  <si>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</si>
  <si>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</si>
  <si>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</si>
  <si>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</si>
  <si>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</si>
  <si>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</si>
  <si>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</si>
  <si>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</si>
  <si>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</si>
  <si>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</si>
  <si>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</si>
  <si>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</si>
  <si>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</si>
  <si>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</si>
  <si>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</si>
  <si>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</si>
  <si>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</si>
  <si>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</si>
  <si>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</si>
  <si>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</si>
  <si>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</si>
  <si>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</si>
  <si>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</si>
  <si>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</si>
  <si>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</si>
  <si>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</si>
  <si>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</si>
  <si>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</si>
  <si>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</si>
  <si>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</si>
  <si>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</si>
  <si>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</si>
  <si>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</si>
  <si>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</si>
  <si>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</si>
  <si>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</si>
  <si>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</si>
  <si>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</si>
  <si>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</si>
  <si>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</si>
  <si>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</si>
  <si>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</si>
  <si>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</si>
  <si>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</si>
  <si>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</si>
  <si>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</si>
  <si>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</si>
  <si>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</si>
  <si>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</si>
  <si>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</si>
  <si>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</si>
  <si>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</si>
  <si>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</si>
  <si>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</si>
  <si>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</si>
  <si>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</si>
  <si>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</si>
  <si>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</si>
  <si>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</si>
  <si>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</si>
  <si>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</si>
  <si>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</si>
  <si>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</si>
  <si>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</si>
  <si>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</si>
  <si>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</si>
  <si>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</si>
  <si>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</si>
  <si>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</si>
  <si>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</si>
  <si>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</si>
  <si>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</si>
  <si>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</si>
  <si>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</si>
  <si>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</si>
  <si>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</si>
  <si>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</si>
  <si>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</si>
  <si>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</si>
  <si>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</si>
  <si>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</si>
  <si>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</si>
  <si>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</si>
  <si>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</si>
  <si>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</si>
  <si>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</si>
  <si>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</si>
  <si>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</si>
  <si>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</si>
  <si>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</si>
  <si>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</si>
  <si>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</si>
  <si>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</si>
  <si>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</si>
  <si>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</si>
  <si>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</si>
  <si>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</si>
  <si>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</si>
  <si>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</si>
  <si>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</si>
  <si>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</si>
  <si>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</si>
  <si>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</si>
  <si>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</si>
  <si>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</si>
  <si>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</si>
  <si>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</si>
  <si>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</si>
  <si>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</si>
  <si>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</si>
  <si>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</si>
  <si>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</si>
  <si>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</si>
  <si>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</si>
  <si>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</si>
  <si>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</si>
  <si>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</si>
  <si>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</si>
  <si>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</si>
  <si>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</si>
  <si>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</si>
  <si>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</si>
  <si>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</si>
  <si>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</si>
  <si>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</si>
  <si>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</si>
  <si>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</si>
  <si>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</si>
  <si>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</si>
  <si>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</si>
  <si>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</si>
  <si>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</si>
  <si>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</si>
  <si>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</si>
  <si>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</si>
  <si>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</si>
  <si>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</si>
  <si>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</si>
  <si>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</si>
  <si>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</si>
  <si>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</si>
  <si>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</si>
  <si>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</si>
  <si>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</si>
  <si>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</si>
  <si>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</si>
  <si>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</si>
  <si>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</si>
  <si>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</si>
  <si>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</si>
  <si>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</si>
  <si>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</si>
  <si>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</si>
  <si>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</si>
  <si>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</si>
  <si>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</si>
  <si>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</si>
  <si>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</si>
  <si>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</si>
  <si>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</si>
  <si>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</si>
  <si>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</si>
  <si>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</si>
  <si>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</si>
  <si>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</si>
  <si>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</si>
  <si>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</si>
  <si>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</si>
  <si>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</si>
  <si>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</si>
  <si>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</si>
  <si>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</si>
  <si>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</si>
  <si>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</si>
  <si>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</si>
  <si>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</si>
  <si>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</si>
  <si>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</si>
  <si>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</si>
  <si>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</si>
  <si>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</si>
  <si>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</si>
  <si>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</si>
  <si>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</si>
  <si>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</si>
  <si>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</si>
  <si>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</si>
  <si>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</si>
  <si>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</si>
  <si>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</si>
  <si>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</si>
  <si>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</si>
  <si>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</si>
  <si>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</si>
  <si>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</si>
  <si>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</si>
  <si>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</si>
  <si>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</si>
  <si>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</si>
  <si>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</si>
  <si>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</si>
  <si>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</si>
  <si>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</si>
  <si>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</si>
  <si>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</si>
  <si>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</si>
  <si>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</si>
  <si>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</si>
  <si>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</si>
  <si>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</si>
  <si>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</si>
  <si>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</si>
  <si>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</si>
  <si>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</si>
  <si>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</si>
  <si>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</si>
  <si>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</si>
  <si>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</si>
  <si>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</si>
  <si>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</si>
  <si>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</si>
  <si>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</si>
  <si>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</si>
  <si>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</si>
  <si>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</si>
  <si>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</si>
  <si>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</si>
  <si>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</si>
  <si>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</si>
  <si>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</si>
  <si>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</si>
  <si>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</si>
  <si>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</si>
  <si>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</si>
  <si>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</si>
  <si>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</si>
  <si>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</si>
  <si>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</si>
  <si>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</si>
  <si>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</si>
  <si>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</si>
  <si>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</si>
  <si>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</si>
  <si>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</si>
  <si>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</si>
  <si>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</si>
  <si>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</si>
  <si>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</si>
  <si>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</si>
  <si>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</si>
  <si>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</si>
  <si>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</si>
  <si>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</si>
  <si>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</si>
  <si>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</si>
  <si>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</si>
  <si>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</si>
  <si>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</si>
  <si>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</si>
  <si>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</si>
  <si>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</si>
  <si>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</si>
  <si>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</si>
  <si>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</si>
  <si>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</si>
  <si>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</si>
  <si>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</si>
  <si>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</si>
  <si>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</si>
  <si>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</si>
  <si>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</si>
  <si>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</si>
  <si>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</si>
  <si>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</si>
  <si>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</si>
  <si>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</si>
  <si>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</si>
  <si>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</si>
  <si>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</si>
  <si>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</si>
  <si>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</si>
  <si>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</si>
  <si>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</si>
  <si>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</si>
  <si>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</si>
  <si>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</si>
  <si>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</si>
  <si>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</si>
  <si>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</si>
  <si>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</si>
  <si>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</si>
  <si>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</si>
  <si>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</si>
  <si>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</si>
  <si>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</si>
  <si>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</si>
  <si>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</si>
  <si>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</si>
  <si>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</si>
  <si>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</si>
  <si>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</si>
  <si>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</si>
  <si>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</si>
  <si>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</si>
  <si>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</si>
  <si>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</si>
  <si>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</si>
  <si>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</si>
  <si>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</si>
  <si>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</si>
  <si>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</si>
  <si>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</si>
  <si>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</si>
  <si>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</si>
  <si>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</si>
  <si>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</si>
  <si>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</si>
  <si>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</si>
  <si>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</si>
  <si>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</si>
  <si>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</si>
  <si>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</si>
  <si>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</si>
  <si>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</si>
  <si>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</si>
  <si>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</si>
  <si>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</si>
  <si>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</si>
  <si>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</si>
  <si>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</si>
  <si>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</si>
  <si>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</si>
  <si>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</si>
  <si>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</si>
  <si>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</si>
  <si>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</si>
  <si>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</si>
  <si>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</si>
  <si>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</si>
  <si>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</si>
  <si>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</si>
  <si>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</si>
  <si>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</si>
  <si>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</si>
  <si>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</si>
  <si>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</si>
  <si>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</si>
  <si>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</si>
  <si>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</si>
  <si>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</si>
  <si>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</si>
  <si>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</si>
  <si>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</si>
  <si>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</si>
  <si>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</si>
  <si>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</si>
  <si>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</si>
  <si>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</si>
  <si>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</si>
  <si>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</si>
  <si>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</si>
  <si>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</si>
  <si>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</si>
  <si>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</si>
  <si>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</si>
  <si>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</si>
  <si>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</si>
  <si>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</si>
  <si>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</si>
  <si>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</si>
  <si>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</si>
  <si>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</si>
  <si>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</si>
  <si>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</si>
  <si>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</si>
  <si>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</si>
  <si>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</si>
  <si>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</si>
  <si>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</si>
  <si>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</si>
  <si>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</si>
  <si>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</si>
  <si>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</si>
  <si>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</si>
  <si>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</si>
  <si>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</si>
  <si>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</si>
  <si>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</si>
  <si>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</si>
  <si>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</si>
  <si>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</si>
  <si>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</si>
  <si>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</si>
  <si>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</si>
  <si>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</si>
  <si>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</si>
  <si>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</si>
  <si>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</si>
  <si>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</si>
  <si>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</si>
  <si>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</si>
  <si>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</si>
  <si>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</si>
  <si>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</si>
  <si>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</si>
  <si>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</si>
  <si>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</si>
  <si>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</si>
  <si>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</si>
  <si>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</si>
  <si>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</si>
  <si>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</si>
  <si>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</si>
  <si>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</si>
  <si>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</si>
  <si>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</si>
  <si>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</si>
  <si>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</si>
  <si>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</si>
  <si>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</si>
  <si>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</si>
  <si>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</si>
  <si>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</si>
  <si>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</si>
  <si>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</si>
  <si>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</si>
  <si>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</si>
  <si>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</si>
  <si>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</si>
  <si>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</si>
  <si>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</si>
  <si>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</si>
  <si>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</si>
  <si>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</si>
  <si>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</si>
  <si>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</si>
  <si>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</si>
  <si>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</si>
  <si>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</si>
  <si>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</si>
  <si>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</si>
  <si>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</si>
  <si>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</si>
  <si>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</si>
  <si>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</si>
  <si>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</si>
  <si>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</si>
  <si>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</si>
  <si>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</si>
  <si>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</si>
  <si>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</si>
  <si>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</si>
  <si>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</si>
  <si>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</si>
  <si>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</si>
  <si>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</si>
  <si>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</si>
  <si>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</si>
  <si>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</si>
  <si>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</si>
  <si>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</si>
  <si>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</si>
  <si>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</si>
  <si>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</si>
  <si>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</si>
  <si>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</si>
  <si>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</si>
  <si>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</si>
  <si>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</si>
  <si>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</si>
  <si>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</si>
  <si>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</si>
  <si>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</si>
  <si>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</si>
  <si>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</si>
  <si>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</si>
  <si>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</si>
  <si>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</si>
  <si>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</si>
  <si>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</si>
  <si>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</si>
  <si>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</si>
  <si>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</si>
  <si>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</si>
  <si>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</si>
  <si>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</si>
  <si>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</si>
  <si>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</si>
  <si>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</si>
  <si>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</si>
  <si>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</si>
  <si>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</si>
  <si>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</si>
  <si>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</si>
  <si>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</si>
  <si>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</si>
  <si>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</si>
  <si>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</si>
  <si>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</si>
  <si>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</si>
  <si>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</si>
  <si>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</si>
  <si>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</si>
  <si>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</si>
  <si>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</si>
  <si>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</si>
  <si>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</si>
  <si>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</si>
  <si>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</si>
  <si>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</si>
  <si>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</si>
  <si>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</si>
  <si>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</si>
  <si>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</si>
  <si>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</si>
  <si>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</si>
  <si>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</si>
  <si>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</si>
  <si>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</si>
  <si>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</si>
  <si>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</si>
  <si>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</si>
  <si>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</si>
  <si>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</si>
  <si>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</si>
  <si>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</si>
  <si>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</si>
  <si>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</si>
  <si>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</si>
  <si>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</si>
  <si>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</si>
  <si>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</si>
  <si>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</si>
  <si>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</si>
  <si>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</si>
  <si>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</si>
  <si>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</si>
  <si>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</si>
  <si>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</si>
  <si>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</si>
  <si>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</si>
  <si>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</si>
  <si>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</si>
  <si>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</si>
  <si>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</si>
  <si>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</si>
  <si>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</si>
  <si>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</si>
  <si>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</si>
  <si>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</si>
  <si>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</si>
  <si>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</si>
  <si>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</si>
  <si>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</si>
  <si>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</si>
  <si>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</si>
  <si>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</si>
  <si>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</si>
  <si>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</si>
  <si>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</si>
  <si>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</si>
  <si>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</si>
  <si>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</si>
  <si>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</si>
  <si>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</si>
  <si>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</si>
  <si>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</si>
  <si>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</si>
  <si>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</si>
  <si>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</si>
  <si>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</si>
  <si>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</si>
  <si>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</si>
  <si>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</si>
  <si>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</si>
  <si>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</si>
  <si>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</si>
  <si>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</si>
  <si>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</si>
  <si>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</si>
  <si>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</si>
  <si>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</si>
  <si>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</si>
  <si>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</si>
  <si>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</si>
  <si>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</si>
  <si>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</si>
  <si>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</si>
  <si>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</si>
  <si>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</si>
  <si>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</si>
  <si>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</si>
  <si>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</si>
  <si>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</si>
  <si>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</si>
  <si>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</si>
  <si>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</si>
  <si>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</si>
  <si>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</si>
  <si>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</si>
  <si>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</si>
  <si>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</si>
  <si>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</si>
  <si>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</si>
  <si>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</si>
  <si>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</si>
  <si>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</si>
  <si>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</si>
  <si>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</si>
  <si>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</si>
  <si>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</si>
  <si>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</si>
  <si>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</si>
  <si>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</si>
  <si>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</si>
  <si>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</si>
  <si>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</si>
  <si>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</si>
  <si>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</si>
  <si>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</si>
  <si>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</si>
  <si>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</si>
  <si>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</si>
  <si>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</si>
  <si>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</si>
  <si>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</si>
  <si>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</si>
  <si>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</si>
  <si>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</si>
  <si>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</si>
  <si>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</si>
  <si>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</si>
  <si>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</si>
  <si>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</si>
  <si>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</si>
  <si>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</si>
  <si>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</si>
  <si>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</si>
  <si>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</si>
  <si>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</si>
  <si>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</si>
  <si>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</si>
  <si>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</si>
  <si>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</si>
  <si>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</si>
  <si>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</si>
  <si>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</si>
  <si>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</si>
  <si>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</si>
  <si>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</si>
  <si>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</si>
  <si>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</si>
  <si>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</si>
  <si>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</si>
  <si>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</si>
  <si>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</si>
  <si>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</si>
  <si>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</si>
  <si>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</si>
  <si>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</si>
  <si>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</si>
  <si>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</si>
  <si>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</si>
  <si>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</si>
  <si>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</si>
  <si>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</si>
  <si>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</si>
  <si>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</si>
  <si>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</si>
  <si>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</si>
  <si>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</si>
  <si>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</si>
  <si>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</si>
  <si>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</si>
  <si>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</si>
  <si>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</si>
  <si>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</si>
  <si>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</si>
  <si>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</si>
  <si>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</si>
  <si>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</si>
  <si>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</si>
  <si>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</si>
  <si>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</si>
  <si>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</si>
  <si>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</si>
  <si>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</si>
  <si>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</si>
  <si>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</si>
  <si>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</si>
  <si>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</si>
  <si>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</si>
  <si>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</si>
  <si>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</si>
  <si>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</si>
  <si>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</si>
  <si>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</si>
  <si>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</si>
  <si>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</si>
  <si>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</si>
  <si>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</si>
  <si>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</si>
  <si>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</si>
  <si>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</si>
  <si>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</si>
  <si>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</si>
  <si>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</si>
  <si>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</si>
  <si>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</si>
  <si>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</si>
  <si>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</si>
  <si>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</si>
  <si>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</si>
  <si>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</si>
  <si>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</si>
  <si>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</si>
  <si>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</si>
  <si>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</si>
  <si>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</si>
  <si>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</si>
  <si>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</si>
  <si>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</si>
  <si>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</si>
  <si>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</si>
  <si>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</si>
  <si>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</si>
  <si>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</si>
  <si>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</si>
  <si>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</si>
  <si>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</si>
  <si>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</si>
  <si>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</si>
  <si>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</si>
  <si>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</si>
  <si>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</si>
  <si>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</si>
  <si>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</si>
  <si>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</si>
  <si>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</si>
  <si>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</si>
  <si>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</si>
  <si>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</si>
  <si>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</si>
  <si>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</si>
  <si>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</si>
  <si>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</si>
  <si>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</si>
  <si>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</si>
  <si>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</si>
  <si>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</si>
  <si>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</si>
  <si>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</si>
  <si>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</si>
  <si>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</si>
  <si>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</si>
  <si>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</si>
  <si>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</si>
  <si>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</si>
  <si>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</si>
  <si>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</si>
  <si>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</si>
  <si>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</si>
  <si>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</si>
  <si>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</si>
  <si>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</si>
  <si>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</si>
  <si>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</si>
  <si>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</si>
  <si>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</si>
  <si>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</si>
  <si>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</si>
  <si>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</si>
  <si>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</si>
  <si>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</si>
  <si>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</si>
  <si>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</si>
  <si>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</si>
  <si>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</si>
  <si>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</si>
  <si>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</si>
  <si>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</si>
  <si>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</si>
  <si>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</si>
  <si>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</si>
  <si>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</si>
  <si>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</si>
  <si>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</si>
  <si>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</si>
  <si>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</si>
  <si>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</si>
  <si>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</si>
  <si>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</si>
  <si>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</si>
  <si>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</si>
  <si>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</si>
  <si>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</si>
  <si>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</si>
  <si>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</si>
  <si>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</si>
  <si>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</si>
  <si>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</si>
  <si>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</si>
  <si>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</si>
  <si>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</si>
  <si>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</si>
  <si>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</si>
  <si>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</si>
  <si>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</si>
  <si>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</si>
  <si>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</si>
  <si>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</si>
  <si>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</si>
  <si>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</si>
  <si>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</si>
  <si>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</si>
  <si>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</si>
  <si>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</si>
  <si>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</si>
  <si>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</si>
  <si>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</si>
  <si>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</si>
  <si>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</si>
  <si>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</si>
  <si>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</si>
  <si>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</si>
  <si>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</si>
  <si>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</si>
  <si>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</si>
  <si>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</si>
  <si>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</si>
  <si>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</si>
  <si>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</si>
  <si>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</si>
  <si>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</si>
  <si>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</si>
  <si>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</si>
  <si>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</si>
  <si>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</si>
  <si>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</si>
  <si>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</si>
  <si>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</si>
  <si>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</si>
  <si>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</si>
  <si>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</si>
  <si>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</si>
  <si>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</si>
  <si>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</si>
  <si>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</si>
  <si>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</si>
  <si>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</si>
  <si>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</si>
  <si>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</si>
  <si>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</si>
  <si>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</si>
  <si>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</si>
  <si>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</si>
  <si>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</si>
  <si>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</si>
  <si>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</si>
  <si>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</si>
  <si>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</si>
  <si>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</si>
  <si>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</si>
  <si>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</si>
  <si>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</si>
  <si>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</si>
  <si>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</si>
  <si>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</si>
  <si>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</si>
  <si>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</si>
  <si>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</si>
  <si>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</si>
  <si>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</si>
  <si>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</si>
  <si>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</si>
  <si>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</si>
  <si>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</si>
  <si>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</si>
  <si>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</si>
  <si>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</si>
  <si>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</si>
  <si>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</si>
  <si>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</si>
  <si>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</si>
  <si>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</si>
  <si>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</si>
  <si>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</si>
  <si>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</si>
  <si>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</si>
  <si>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</si>
  <si>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</si>
  <si>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</si>
  <si>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</si>
  <si>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</si>
  <si>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</si>
  <si>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</si>
  <si>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</si>
  <si>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</si>
  <si>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</si>
  <si>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</si>
  <si>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</si>
  <si>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</si>
  <si>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</si>
  <si>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</si>
  <si>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</si>
  <si>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</si>
  <si>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</si>
  <si>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</si>
  <si>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</si>
  <si>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</si>
  <si>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</si>
  <si>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</si>
  <si>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</si>
  <si>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</si>
  <si>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</si>
  <si>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</si>
  <si>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</si>
  <si>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</si>
  <si>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</si>
  <si>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</si>
  <si>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</si>
  <si>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</si>
  <si>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</si>
  <si>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</si>
  <si>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</si>
  <si>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</si>
  <si>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</si>
  <si>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</si>
  <si>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</si>
  <si>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</si>
  <si>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</si>
  <si>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</si>
  <si>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</si>
  <si>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</si>
  <si>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</si>
  <si>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</si>
  <si>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</si>
  <si>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</si>
  <si>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</si>
  <si>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</si>
  <si>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</si>
  <si>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</si>
  <si>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</si>
  <si>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</si>
  <si>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</si>
  <si>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</si>
  <si>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</si>
  <si>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</si>
  <si>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</si>
  <si>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</si>
  <si>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</si>
  <si>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</si>
  <si>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</si>
  <si>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</si>
  <si>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</si>
  <si>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</si>
  <si>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</si>
  <si>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</si>
  <si>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</si>
  <si>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</si>
  <si>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</si>
  <si>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</si>
  <si>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</si>
  <si>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</si>
  <si>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</si>
  <si>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</si>
  <si>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</si>
  <si>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</si>
  <si>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</si>
  <si>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</si>
  <si>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</si>
  <si>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</si>
  <si>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</si>
  <si>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</si>
  <si>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</si>
  <si>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</si>
  <si>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</si>
  <si>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</si>
  <si>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</si>
  <si>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</si>
  <si>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</si>
  <si>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</si>
  <si>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</si>
  <si>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</si>
  <si>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</si>
  <si>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</si>
  <si>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</si>
  <si>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</si>
  <si>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</si>
  <si>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</si>
  <si>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</si>
  <si>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</si>
  <si>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</si>
  <si>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</si>
  <si>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</si>
  <si>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</si>
  <si>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</si>
  <si>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</si>
  <si>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</si>
  <si>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</si>
  <si>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</si>
  <si>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</si>
  <si>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</si>
  <si>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</si>
  <si>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</si>
  <si>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</si>
  <si>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</si>
  <si>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</si>
  <si>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</si>
  <si>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</si>
  <si>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</si>
  <si>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</si>
  <si>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</si>
  <si>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</si>
  <si>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</si>
  <si>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</si>
  <si>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</si>
  <si>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</si>
  <si>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</si>
  <si>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</si>
  <si>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</si>
  <si>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</si>
  <si>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</si>
  <si>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</si>
  <si>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</si>
  <si>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</si>
  <si>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</si>
  <si>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</si>
  <si>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</si>
  <si>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</si>
  <si>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</si>
  <si>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</si>
  <si>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</si>
  <si>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</si>
  <si>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</si>
  <si>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</si>
  <si>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</si>
  <si>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</si>
  <si>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</si>
  <si>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</si>
  <si>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</si>
  <si>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</si>
  <si>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</si>
  <si>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</si>
  <si>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</si>
  <si>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</si>
  <si>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</si>
  <si>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</si>
  <si>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</si>
  <si>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</si>
  <si>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</si>
  <si>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</si>
  <si>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</si>
  <si>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</si>
  <si>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</si>
  <si>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</si>
  <si>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</si>
  <si>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</si>
  <si>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</si>
  <si>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</si>
  <si>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</si>
  <si>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</si>
  <si>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</si>
  <si>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</si>
  <si>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</si>
  <si>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</si>
  <si>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</si>
  <si>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</si>
  <si>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</si>
  <si>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</si>
  <si>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</si>
  <si>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</si>
  <si>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</si>
  <si>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</si>
  <si>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</si>
  <si>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</si>
  <si>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</si>
  <si>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</si>
  <si>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</si>
  <si>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</si>
  <si>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</si>
  <si>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</si>
  <si>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</si>
  <si>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</si>
  <si>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</si>
  <si>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</si>
  <si>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</si>
  <si>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</si>
  <si>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</si>
  <si>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</si>
  <si>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</si>
  <si>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</si>
  <si>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</si>
  <si>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</si>
  <si>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</si>
  <si>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</si>
  <si>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</si>
  <si>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</si>
  <si>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</si>
  <si>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</si>
  <si>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</si>
  <si>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</si>
  <si>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</si>
  <si>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</si>
  <si>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</si>
  <si>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</si>
  <si>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</si>
  <si>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</si>
  <si>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</si>
  <si>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</si>
  <si>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</si>
  <si>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</si>
  <si>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</si>
  <si>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</si>
  <si>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</si>
  <si>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</si>
  <si>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</si>
  <si>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</si>
  <si>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</si>
  <si>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</si>
  <si>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</si>
  <si>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</si>
  <si>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</si>
  <si>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</si>
  <si>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</si>
  <si>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</si>
  <si>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</si>
  <si>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</si>
  <si>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</si>
  <si>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</si>
  <si>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</si>
  <si>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</si>
  <si>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</si>
  <si>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</si>
  <si>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</si>
  <si>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</si>
  <si>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</si>
  <si>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</si>
  <si>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</si>
  <si>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</si>
  <si>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</si>
  <si>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</si>
  <si>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</si>
  <si>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</si>
  <si>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</si>
  <si>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</si>
  <si>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</si>
  <si>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</si>
  <si>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</si>
  <si>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</si>
  <si>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</si>
  <si>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</si>
  <si>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</si>
  <si>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</si>
  <si>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</si>
  <si>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</si>
  <si>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</si>
  <si>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</si>
  <si>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</si>
  <si>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</si>
  <si>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</si>
  <si>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</si>
  <si>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</si>
  <si>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</si>
  <si>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</si>
  <si>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</si>
  <si>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</si>
  <si>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</si>
  <si>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</si>
  <si>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</si>
  <si>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</si>
  <si>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</si>
  <si>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</si>
  <si>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</si>
  <si>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</si>
  <si>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</si>
  <si>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</si>
  <si>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</si>
  <si>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</si>
  <si>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</si>
  <si>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</si>
  <si>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</si>
  <si>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</si>
  <si>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</si>
  <si>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</si>
  <si>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</si>
  <si>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</si>
  <si>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</si>
  <si>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</si>
  <si>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</si>
  <si>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</si>
  <si>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</si>
  <si>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</si>
  <si>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</si>
  <si>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</si>
  <si>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</si>
  <si>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</si>
  <si>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</si>
  <si>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</si>
  <si>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</si>
  <si>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</si>
  <si>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</si>
  <si>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</si>
  <si>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</si>
  <si>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</si>
  <si>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</si>
  <si>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</si>
  <si>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</si>
  <si>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</si>
  <si>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</si>
  <si>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</si>
  <si>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</si>
  <si>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</si>
  <si>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</si>
  <si>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</si>
  <si>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</si>
  <si>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</si>
  <si>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</si>
  <si>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</si>
  <si>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</si>
  <si>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</si>
  <si>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</si>
  <si>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</si>
  <si>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</si>
  <si>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</si>
  <si>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</si>
  <si>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</si>
  <si>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</si>
  <si>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</si>
  <si>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</si>
  <si>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</si>
  <si>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</si>
  <si>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</si>
  <si>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</si>
  <si>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</si>
  <si>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</si>
  <si>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</si>
  <si>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</si>
  <si>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</si>
  <si>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</si>
  <si>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</si>
  <si>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</si>
  <si>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</si>
  <si>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</si>
  <si>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</si>
  <si>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</si>
  <si>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</si>
  <si>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</si>
  <si>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</si>
  <si>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</si>
  <si>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</si>
  <si>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</si>
  <si>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</si>
  <si>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</si>
  <si>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</si>
  <si>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</si>
  <si>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</si>
  <si>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</si>
  <si>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</si>
  <si>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</si>
  <si>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</si>
  <si>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</si>
  <si>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</si>
  <si>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</si>
  <si>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</si>
  <si>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</si>
  <si>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</si>
  <si>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</si>
  <si>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</si>
  <si>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</si>
  <si>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</si>
  <si>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</si>
  <si>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</si>
  <si>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</si>
  <si>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</si>
  <si>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</si>
  <si>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</si>
  <si>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</si>
  <si>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</si>
  <si>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</si>
  <si>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</si>
  <si>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</si>
  <si>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</si>
  <si>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</si>
  <si>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</si>
  <si>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</si>
  <si>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</si>
  <si>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</si>
  <si>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</si>
  <si>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</si>
  <si>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</si>
  <si>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</si>
  <si>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</si>
  <si>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</si>
  <si>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</si>
  <si>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</si>
  <si>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</si>
  <si>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</si>
  <si>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</si>
  <si>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</si>
  <si>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</si>
  <si>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</si>
  <si>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</si>
  <si>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</si>
  <si>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</si>
  <si>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</si>
  <si>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</si>
  <si>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</si>
  <si>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</si>
  <si>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</si>
  <si>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</si>
  <si>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</si>
  <si>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</si>
  <si>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</si>
  <si>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</si>
  <si>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</si>
  <si>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</si>
  <si>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</si>
  <si>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</si>
  <si>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</si>
  <si>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</si>
  <si>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</si>
  <si>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</si>
  <si>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</si>
  <si>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</si>
  <si>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</si>
  <si>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</si>
  <si>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</si>
  <si>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</si>
  <si>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</si>
  <si>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</si>
  <si>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</si>
  <si>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</si>
  <si>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</si>
  <si>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</si>
  <si>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</si>
  <si>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</si>
  <si>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</si>
  <si>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</si>
  <si>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</si>
  <si>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</si>
  <si>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</si>
  <si>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</si>
  <si>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</si>
  <si>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</si>
  <si>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</si>
  <si>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</si>
  <si>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</si>
  <si>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</si>
  <si>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</si>
  <si>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</si>
  <si>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</si>
  <si>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</si>
  <si>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</si>
  <si>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</si>
  <si>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</si>
  <si>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</si>
  <si>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</si>
  <si>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</si>
  <si>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</si>
  <si>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</si>
  <si>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</si>
  <si>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</si>
  <si>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</si>
  <si>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</si>
  <si>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</si>
  <si>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</si>
  <si>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</si>
  <si>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</si>
  <si>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</si>
  <si>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</si>
  <si>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</si>
  <si>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</si>
  <si>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</si>
  <si>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</si>
  <si>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</si>
  <si>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</si>
  <si>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</si>
  <si>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</si>
  <si>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</si>
  <si>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</si>
  <si>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</si>
  <si>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</si>
  <si>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</si>
  <si>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</si>
  <si>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</si>
  <si>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</si>
  <si>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</si>
  <si>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</si>
  <si>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</si>
  <si>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</si>
  <si>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</si>
  <si>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</si>
  <si>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</si>
  <si>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</si>
  <si>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</si>
  <si>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</si>
  <si>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</si>
  <si>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</si>
  <si>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</si>
  <si>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</si>
  <si>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</si>
  <si>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</si>
  <si>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</si>
  <si>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</si>
  <si>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</si>
  <si>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</si>
  <si>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</si>
  <si>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</si>
  <si>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</si>
  <si>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</si>
  <si>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</si>
  <si>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</si>
  <si>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</si>
  <si>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</si>
  <si>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</si>
  <si>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</si>
  <si>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</si>
  <si>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</si>
  <si>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</si>
  <si>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</si>
  <si>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</si>
  <si>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</si>
  <si>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</si>
  <si>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</si>
  <si>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</si>
  <si>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</si>
  <si>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</si>
  <si>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</si>
  <si>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</si>
  <si>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</si>
  <si>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</si>
  <si>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</si>
  <si>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</si>
  <si>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</si>
  <si>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</si>
  <si>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</si>
  <si>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</si>
  <si>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</si>
  <si>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</si>
  <si>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</si>
  <si>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</si>
  <si>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</si>
  <si>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</si>
  <si>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</si>
  <si>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</si>
  <si>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</si>
  <si>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</si>
  <si>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</si>
  <si>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</si>
  <si>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</si>
  <si>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</si>
  <si>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</si>
  <si>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</si>
  <si>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</si>
  <si>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</si>
  <si>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</si>
  <si>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</si>
  <si>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</si>
  <si>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</si>
  <si>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</si>
  <si>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</si>
  <si>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</si>
  <si>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</si>
  <si>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</si>
  <si>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</si>
  <si>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</si>
  <si>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</si>
  <si>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</si>
  <si>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</si>
  <si>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</si>
  <si>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</si>
  <si>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</si>
  <si>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</si>
  <si>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</si>
  <si>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</si>
  <si>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</si>
  <si>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</si>
  <si>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</si>
  <si>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</si>
  <si>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</si>
  <si>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</si>
  <si>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</si>
  <si>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</si>
  <si>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</si>
  <si>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</si>
  <si>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</si>
  <si>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</si>
  <si>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</si>
  <si>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</si>
  <si>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</si>
  <si>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</si>
  <si>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</si>
  <si>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</si>
  <si>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</si>
  <si>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</si>
  <si>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</si>
  <si>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</si>
  <si>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</si>
  <si>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</si>
  <si>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</si>
  <si>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</si>
  <si>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</si>
  <si>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</si>
  <si>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</si>
  <si>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</si>
  <si>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</si>
  <si>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</si>
  <si>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</si>
  <si>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</si>
  <si>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</si>
  <si>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</si>
  <si>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</si>
  <si>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</si>
  <si>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</si>
  <si>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</si>
  <si>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</si>
  <si>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</si>
  <si>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</si>
  <si>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</si>
  <si>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</si>
  <si>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</si>
  <si>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</si>
  <si>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</si>
  <si>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</si>
  <si>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</si>
  <si>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</si>
  <si>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</si>
  <si>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</si>
  <si>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</si>
  <si>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</si>
  <si>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</si>
  <si>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</si>
  <si>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</si>
  <si>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</si>
  <si>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</si>
  <si>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</si>
  <si>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</si>
  <si>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</si>
  <si>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</si>
  <si>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</si>
  <si>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</si>
  <si>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</si>
  <si>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</si>
  <si>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</si>
  <si>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</si>
  <si>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</si>
  <si>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</si>
  <si>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</si>
  <si>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</si>
  <si>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</si>
  <si>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</si>
  <si>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</si>
  <si>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</si>
  <si>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</si>
  <si>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</si>
  <si>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</si>
  <si>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</si>
  <si>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</si>
  <si>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</si>
  <si>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</si>
  <si>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</si>
  <si>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</si>
  <si>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</si>
  <si>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</si>
  <si>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</si>
  <si>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</si>
  <si>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</si>
  <si>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</si>
  <si>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</si>
  <si>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</si>
  <si>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</si>
  <si>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</si>
  <si>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</si>
  <si>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</si>
  <si>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</si>
  <si>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</si>
  <si>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</si>
  <si>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</si>
  <si>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</si>
  <si>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</si>
  <si>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</si>
  <si>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</si>
  <si>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</si>
  <si>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</si>
  <si>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</si>
  <si>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</si>
  <si>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</si>
  <si>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</si>
  <si>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</si>
  <si>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</si>
  <si>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</si>
  <si>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</si>
  <si>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</si>
  <si>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</si>
  <si>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</si>
  <si>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</si>
  <si>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</si>
  <si>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</si>
  <si>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</si>
  <si>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</si>
  <si>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</si>
  <si>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</si>
  <si>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</si>
  <si>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</si>
  <si>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</si>
  <si>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</si>
  <si>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</si>
  <si>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</si>
  <si>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</si>
  <si>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</si>
  <si>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</si>
  <si>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</si>
  <si>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</si>
  <si>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</si>
  <si>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</si>
  <si>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</si>
  <si>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</si>
  <si>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</si>
  <si>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</si>
  <si>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</si>
  <si>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</si>
  <si>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</si>
  <si>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</si>
  <si>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</si>
  <si>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</si>
  <si>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</si>
  <si>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</si>
  <si>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</si>
  <si>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</si>
  <si>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</si>
  <si>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</si>
  <si>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</si>
  <si>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</si>
  <si>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</si>
  <si>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</si>
  <si>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</si>
  <si>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</si>
  <si>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</si>
  <si>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</si>
  <si>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</si>
  <si>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</si>
  <si>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</si>
  <si>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</si>
  <si>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</si>
  <si>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</si>
  <si>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</si>
  <si>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</si>
  <si>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</si>
  <si>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</si>
  <si>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</si>
  <si>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</si>
  <si>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</si>
  <si>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</si>
  <si>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</si>
  <si>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</si>
  <si>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</si>
  <si>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</si>
  <si>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</si>
  <si>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</si>
  <si>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</si>
  <si>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</si>
  <si>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</si>
  <si>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</si>
  <si>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</si>
  <si>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</si>
  <si>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</si>
  <si>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</si>
  <si>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</si>
  <si>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</si>
  <si>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</si>
  <si>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</si>
  <si>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</si>
  <si>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</si>
  <si>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</si>
  <si>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</si>
  <si>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</si>
  <si>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</si>
  <si>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</si>
  <si>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</si>
  <si>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</si>
  <si>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</si>
  <si>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</si>
  <si>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</si>
  <si>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</si>
  <si>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</si>
  <si>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</si>
  <si>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</si>
  <si>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</si>
  <si>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</si>
  <si>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</si>
  <si>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</si>
  <si>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</si>
  <si>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</si>
  <si>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</si>
  <si>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</si>
  <si>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</si>
  <si>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</si>
  <si>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</si>
  <si>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</si>
  <si>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</si>
  <si>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</si>
  <si>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</si>
  <si>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</si>
  <si>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</si>
  <si>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</si>
  <si>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</si>
  <si>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</si>
  <si>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</si>
  <si>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</si>
  <si>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</si>
  <si>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</si>
  <si>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</si>
  <si>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</si>
  <si>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</si>
  <si>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</si>
  <si>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</si>
  <si>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</si>
  <si>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</si>
  <si>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</si>
  <si>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</si>
  <si>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</si>
  <si>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</si>
  <si>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</si>
  <si>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</si>
  <si>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</si>
  <si>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</si>
  <si>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</si>
  <si>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</si>
  <si>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</si>
  <si>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</si>
  <si>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</si>
  <si>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</si>
  <si>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</si>
  <si>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</si>
  <si>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</si>
  <si>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</si>
  <si>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</si>
  <si>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</si>
  <si>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</si>
  <si>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</si>
  <si>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</si>
  <si>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</si>
  <si>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</si>
  <si>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</si>
  <si>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</si>
  <si>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</si>
  <si>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</si>
  <si>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</si>
  <si>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</si>
  <si>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</si>
  <si>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</si>
  <si>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</si>
  <si>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</si>
  <si>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</si>
  <si>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</si>
  <si>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</si>
  <si>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</si>
  <si>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</si>
  <si>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</si>
  <si>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</si>
  <si>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</si>
  <si>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</si>
  <si>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</si>
  <si>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</si>
  <si>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</si>
  <si>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</si>
  <si>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</si>
  <si>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</si>
  <si>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</si>
  <si>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</si>
  <si>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</si>
  <si>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</si>
  <si>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</si>
  <si>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</si>
  <si>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</si>
  <si>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</si>
  <si>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</si>
  <si>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</si>
  <si>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</si>
  <si>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</si>
  <si>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</si>
  <si>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</si>
  <si>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</si>
  <si>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</si>
  <si>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</si>
  <si>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</si>
  <si>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</si>
  <si>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</si>
  <si>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</si>
  <si>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</si>
  <si>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</si>
  <si>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</si>
  <si>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</si>
  <si>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</si>
  <si>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</si>
  <si>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</si>
  <si>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</si>
  <si>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</si>
  <si>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</si>
  <si>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</si>
  <si>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</si>
  <si>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</si>
  <si>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</si>
  <si>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</si>
  <si>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</si>
  <si>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</si>
  <si>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</si>
  <si>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</si>
  <si>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</si>
  <si>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</si>
  <si>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</si>
  <si>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</si>
  <si>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</si>
  <si>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</si>
  <si>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</si>
  <si>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</si>
  <si>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</si>
  <si>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</si>
  <si>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</si>
  <si>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</si>
  <si>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</si>
  <si>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</si>
  <si>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</si>
  <si>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</si>
  <si>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</si>
  <si>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</si>
  <si>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</si>
  <si>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</si>
  <si>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</si>
  <si>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</si>
  <si>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</si>
  <si>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</si>
  <si>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</si>
  <si>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</si>
  <si>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</si>
  <si>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</si>
  <si>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</si>
  <si>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</si>
  <si>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</si>
  <si>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</si>
  <si>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</si>
  <si>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</si>
  <si>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</si>
  <si>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</si>
  <si>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</si>
  <si>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</si>
  <si>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</si>
  <si>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</si>
  <si>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</si>
  <si>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</si>
  <si>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</si>
  <si>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</si>
  <si>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</si>
  <si>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</si>
  <si>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</si>
  <si>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</si>
  <si>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</si>
  <si>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</si>
  <si>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</si>
  <si>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</si>
  <si>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</si>
  <si>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</si>
  <si>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</si>
  <si>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</si>
  <si>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</si>
  <si>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</si>
  <si>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</si>
  <si>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</si>
  <si>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</si>
  <si>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</si>
  <si>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</si>
  <si>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</si>
  <si>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</si>
  <si>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</si>
  <si>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</si>
  <si>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</si>
  <si>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</si>
  <si>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</si>
  <si>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</si>
  <si>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</si>
  <si>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</si>
  <si>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</si>
  <si>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</si>
  <si>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</si>
  <si>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</si>
  <si>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</si>
  <si>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</si>
  <si>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</si>
  <si>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</si>
  <si>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</si>
  <si>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</si>
  <si>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</si>
  <si>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</si>
  <si>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</si>
  <si>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</si>
  <si>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</si>
  <si>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</si>
  <si>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</si>
  <si>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</si>
  <si>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</si>
  <si>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</si>
  <si>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</si>
  <si>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</si>
  <si>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</si>
  <si>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</si>
  <si>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</si>
  <si>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</si>
  <si>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</si>
  <si>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</si>
  <si>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</si>
  <si>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</si>
  <si>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</si>
  <si>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</si>
  <si>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</si>
  <si>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</si>
  <si>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</si>
  <si>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</si>
  <si>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</si>
  <si>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</si>
  <si>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</si>
  <si>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</si>
  <si>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</si>
  <si>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</si>
  <si>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</si>
  <si>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</si>
  <si>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</si>
  <si>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</si>
  <si>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</si>
  <si>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</si>
  <si>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</si>
  <si>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</si>
  <si>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</si>
  <si>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</si>
  <si>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</si>
  <si>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</si>
  <si>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</si>
  <si>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</si>
  <si>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</si>
  <si>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</si>
  <si>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</si>
  <si>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</si>
  <si>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</si>
  <si>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</si>
  <si>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</si>
  <si>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</si>
  <si>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</si>
  <si>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</si>
  <si>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</si>
  <si>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</si>
  <si>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</si>
  <si>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</si>
  <si>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</si>
  <si>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</si>
  <si>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</si>
  <si>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</si>
  <si>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</si>
  <si>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</si>
  <si>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</si>
  <si>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</si>
  <si>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</si>
  <si>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</si>
  <si>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</si>
  <si>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</si>
  <si>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</si>
  <si>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</si>
  <si>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</si>
  <si>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</si>
  <si>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</si>
  <si>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</si>
  <si>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</si>
  <si>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</si>
  <si>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</si>
  <si>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</si>
  <si>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</si>
  <si>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</si>
  <si>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</si>
  <si>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</si>
  <si>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</si>
  <si>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</si>
  <si>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</si>
  <si>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</si>
  <si>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</si>
  <si>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</si>
  <si>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</si>
  <si>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</si>
  <si>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</si>
  <si>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</si>
  <si>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</si>
  <si>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</si>
  <si>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</si>
  <si>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</si>
  <si>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</si>
  <si>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</si>
  <si>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</si>
  <si>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</si>
  <si>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</si>
  <si>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</si>
  <si>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</si>
  <si>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</si>
  <si>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</si>
  <si>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</si>
  <si>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</si>
  <si>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</si>
  <si>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</si>
  <si>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</si>
  <si>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</si>
  <si>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</si>
  <si>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</si>
  <si>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</si>
  <si>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</si>
  <si>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</si>
  <si>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</si>
  <si>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</si>
  <si>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</si>
  <si>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</si>
  <si>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</si>
  <si>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</si>
  <si>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</si>
  <si>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</si>
  <si>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</si>
  <si>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</si>
  <si>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</si>
  <si>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</si>
  <si>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</si>
  <si>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</si>
  <si>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</si>
  <si>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</si>
  <si>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</si>
  <si>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</si>
  <si>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</si>
  <si>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</si>
  <si>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</si>
  <si>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</si>
  <si>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</si>
  <si>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</si>
  <si>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</si>
  <si>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</si>
  <si>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</si>
  <si>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</si>
  <si>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</si>
  <si>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</si>
  <si>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</si>
  <si>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</si>
  <si>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</si>
  <si>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</si>
  <si>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</si>
  <si>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</si>
  <si>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</si>
  <si>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</si>
  <si>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</si>
  <si>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</si>
  <si>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</si>
  <si>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</si>
  <si>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</si>
  <si>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</si>
  <si>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</si>
  <si>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</si>
  <si>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</si>
  <si>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</si>
  <si>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</si>
  <si>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</si>
  <si>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</si>
  <si>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</si>
  <si>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</si>
  <si>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</si>
  <si>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</si>
  <si>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</si>
  <si>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</si>
  <si>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</si>
  <si>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</si>
  <si>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</si>
  <si>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</si>
  <si>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</si>
  <si>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</si>
  <si>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</si>
  <si>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</si>
  <si>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</si>
  <si>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</si>
  <si>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</si>
  <si>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</si>
  <si>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</si>
  <si>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</si>
  <si>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</si>
  <si>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</si>
  <si>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</si>
  <si>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</si>
  <si>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</si>
  <si>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</si>
  <si>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</si>
  <si>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</si>
  <si>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</si>
  <si>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</si>
  <si>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</si>
  <si>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</si>
  <si>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</si>
  <si>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</si>
  <si>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</si>
  <si>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</si>
  <si>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</si>
  <si>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</si>
  <si>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</si>
  <si>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</si>
  <si>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</si>
  <si>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</si>
  <si>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</si>
  <si>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</si>
  <si>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</si>
  <si>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</si>
  <si>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</si>
  <si>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</si>
  <si>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</si>
  <si>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</si>
  <si>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</si>
  <si>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</si>
  <si>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</si>
  <si>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</si>
  <si>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</si>
  <si>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</si>
  <si>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</si>
  <si>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</si>
  <si>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</si>
  <si>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</si>
  <si>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</si>
  <si>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</si>
  <si>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</si>
  <si>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</si>
  <si>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</si>
  <si>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</si>
  <si>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</si>
  <si>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</si>
  <si>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</si>
  <si>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</si>
  <si>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</si>
  <si>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</si>
  <si>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</si>
  <si>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</si>
  <si>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</si>
  <si>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</si>
  <si>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</si>
  <si>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</si>
  <si>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</si>
  <si>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</si>
  <si>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</si>
  <si>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</si>
  <si>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</si>
  <si>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</si>
  <si>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</si>
  <si>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</si>
  <si>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</si>
  <si>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</si>
  <si>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</si>
  <si>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</si>
  <si>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</si>
  <si>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</si>
  <si>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</si>
  <si>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</si>
  <si>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</si>
  <si>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</si>
  <si>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</si>
  <si>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</si>
  <si>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</si>
  <si>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</si>
  <si>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</si>
  <si>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</si>
  <si>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</si>
  <si>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</si>
  <si>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</si>
  <si>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</si>
  <si>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</si>
  <si>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</si>
  <si>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</si>
  <si>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</si>
  <si>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</si>
  <si>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</si>
  <si>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</si>
  <si>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</si>
  <si>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</si>
  <si>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</si>
  <si>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</si>
  <si>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</si>
  <si>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</si>
  <si>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</si>
  <si>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</si>
  <si>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</si>
  <si>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</si>
  <si>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</si>
  <si>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</si>
  <si>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</si>
  <si>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</si>
  <si>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</si>
  <si>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</si>
  <si>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</si>
  <si>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</si>
  <si>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</si>
  <si>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</si>
  <si>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</si>
  <si>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</si>
  <si>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</si>
  <si>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</si>
  <si>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</si>
  <si>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</si>
  <si>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</si>
  <si>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</si>
  <si>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</si>
  <si>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</si>
  <si>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</si>
  <si>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</si>
  <si>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</si>
  <si>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</si>
  <si>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</si>
  <si>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</si>
  <si>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</si>
  <si>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</si>
  <si>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</si>
  <si>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</si>
  <si>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</si>
  <si>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</si>
  <si>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</si>
  <si>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</si>
  <si>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</si>
  <si>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</si>
  <si>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</si>
  <si>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</si>
  <si>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</si>
  <si>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</si>
  <si>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</si>
  <si>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</si>
  <si>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</si>
  <si>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</si>
  <si>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</si>
  <si>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</si>
  <si>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</si>
  <si>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</si>
  <si>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</si>
  <si>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</si>
  <si>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</si>
  <si>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</si>
  <si>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</si>
  <si>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</si>
  <si>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</si>
  <si>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</si>
  <si>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</si>
  <si>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</si>
  <si>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</si>
  <si>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</si>
  <si>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</si>
  <si>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</si>
  <si>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</si>
  <si>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</si>
  <si>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</si>
  <si>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</si>
  <si>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</si>
  <si>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</si>
  <si>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</si>
  <si>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</si>
  <si>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</si>
  <si>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</si>
  <si>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</si>
  <si>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</si>
  <si>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</si>
  <si>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</si>
  <si>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</si>
  <si>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</si>
  <si>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</si>
  <si>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</si>
  <si>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</si>
  <si>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</si>
  <si>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</si>
  <si>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</si>
  <si>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</si>
  <si>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</si>
  <si>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</si>
  <si>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</si>
  <si>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</si>
  <si>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</si>
  <si>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</si>
  <si>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</si>
  <si>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</si>
  <si>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</si>
  <si>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</si>
  <si>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</si>
  <si>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</si>
  <si>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</si>
  <si>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</si>
  <si>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</si>
  <si>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</si>
  <si>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</si>
  <si>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</si>
  <si>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</si>
  <si>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</si>
  <si>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</si>
  <si>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</si>
  <si>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</si>
  <si>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</si>
  <si>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</si>
  <si>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</si>
  <si>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</si>
  <si>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</si>
  <si>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</si>
  <si>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</si>
  <si>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</si>
  <si>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</si>
  <si>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</si>
  <si>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</si>
  <si>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</si>
  <si>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</si>
  <si>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</si>
  <si>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</si>
  <si>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</si>
  <si>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</si>
  <si>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</si>
  <si>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</si>
  <si>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</si>
  <si>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</si>
  <si>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</si>
  <si>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</si>
  <si>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</si>
  <si>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</si>
  <si>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</si>
  <si>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</si>
  <si>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</si>
  <si>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</si>
  <si>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</si>
  <si>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</si>
  <si>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</si>
  <si>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</si>
  <si>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</si>
  <si>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</si>
  <si>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</si>
  <si>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</si>
  <si>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</si>
  <si>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</si>
  <si>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</si>
  <si>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</si>
  <si>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</si>
  <si>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</si>
  <si>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</si>
  <si>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</si>
  <si>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</si>
  <si>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</si>
  <si>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</si>
  <si>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</si>
  <si>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</si>
  <si>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</si>
  <si>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</si>
  <si>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</si>
  <si>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</si>
  <si>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</si>
  <si>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</si>
  <si>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</si>
  <si>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</si>
  <si>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</si>
  <si>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</si>
  <si>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</si>
  <si>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</si>
  <si>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</si>
  <si>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</si>
  <si>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</si>
  <si>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</si>
  <si>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</si>
  <si>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</si>
  <si>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</si>
  <si>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</si>
  <si>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</si>
  <si>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</si>
  <si>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</si>
  <si>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</si>
  <si>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</si>
  <si>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</si>
  <si>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</si>
  <si>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</si>
  <si>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</si>
  <si>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</si>
  <si>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</si>
  <si>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</si>
  <si>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</si>
  <si>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</si>
  <si>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</si>
  <si>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</si>
  <si>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</si>
  <si>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</si>
  <si>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</si>
  <si>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</si>
  <si>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</si>
  <si>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</si>
  <si>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</si>
  <si>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</si>
  <si>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</si>
  <si>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</si>
  <si>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</si>
  <si>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</si>
  <si>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</si>
  <si>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</si>
  <si>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</si>
  <si>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</si>
  <si>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</si>
  <si>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</si>
  <si>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</si>
  <si>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</si>
  <si>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</si>
  <si>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</si>
  <si>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</si>
  <si>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</si>
  <si>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</si>
  <si>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</si>
  <si>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</si>
  <si>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</si>
  <si>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</si>
  <si>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</si>
  <si>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</si>
  <si>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</si>
  <si>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</si>
  <si>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</si>
  <si>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</si>
  <si>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</si>
  <si>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</si>
  <si>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</si>
  <si>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</si>
  <si>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</si>
  <si>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</si>
  <si>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</si>
  <si>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</si>
  <si>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</si>
  <si>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</si>
  <si>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</si>
  <si>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</si>
  <si>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</si>
  <si>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</si>
  <si>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</si>
  <si>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</si>
  <si>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</si>
  <si>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</si>
  <si>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</si>
  <si>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</si>
  <si>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</si>
  <si>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</si>
  <si>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</si>
  <si>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</si>
  <si>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</si>
  <si>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</si>
  <si>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</si>
  <si>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</si>
  <si>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</si>
  <si>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</si>
  <si>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</si>
  <si>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</si>
  <si>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</si>
  <si>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</si>
  <si>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</si>
  <si>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</si>
  <si>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</si>
  <si>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</si>
  <si>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</si>
  <si>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</si>
  <si>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</si>
  <si>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</si>
  <si>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</si>
  <si>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</si>
  <si>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</si>
  <si>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</si>
  <si>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</si>
  <si>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</si>
  <si>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</si>
  <si>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</si>
  <si>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</si>
  <si>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</si>
  <si>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</si>
  <si>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</si>
  <si>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</si>
  <si>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</si>
  <si>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</si>
  <si>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</si>
  <si>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</si>
  <si>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</si>
  <si>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</si>
  <si>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</si>
  <si>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</si>
  <si>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</si>
  <si>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</si>
  <si>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</si>
  <si>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</si>
  <si>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</si>
  <si>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</si>
  <si>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</si>
  <si>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</si>
  <si>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</si>
  <si>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</si>
  <si>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</si>
  <si>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</si>
  <si>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</si>
  <si>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</si>
  <si>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</si>
  <si>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</si>
  <si>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</si>
  <si>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</si>
  <si>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</si>
  <si>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</si>
  <si>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</si>
  <si>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</si>
  <si>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</si>
  <si>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</si>
  <si>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</si>
  <si>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</si>
  <si>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</si>
  <si>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</si>
  <si>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</si>
  <si>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</si>
  <si>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</si>
  <si>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</si>
  <si>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</si>
  <si>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</si>
  <si>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</si>
  <si>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</si>
  <si>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</si>
  <si>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</si>
  <si>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</si>
  <si>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</si>
  <si>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</si>
  <si>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</si>
  <si>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</si>
  <si>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</si>
  <si>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</si>
  <si>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</si>
  <si>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</si>
  <si>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</si>
  <si>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</si>
  <si>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</si>
  <si>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</si>
  <si>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</si>
  <si>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</si>
  <si>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</si>
  <si>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</si>
  <si>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</si>
  <si>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</si>
  <si>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</si>
  <si>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</si>
  <si>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</si>
  <si>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</si>
  <si>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</si>
  <si>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</si>
  <si>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</si>
  <si>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</si>
  <si>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</si>
  <si>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</si>
  <si>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</si>
  <si>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</si>
  <si>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</si>
  <si>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</si>
  <si>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</si>
  <si>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</si>
  <si>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</si>
  <si>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</si>
  <si>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</si>
  <si>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</si>
  <si>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</si>
  <si>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</si>
  <si>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</si>
  <si>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</si>
  <si>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</si>
  <si>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</si>
  <si>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</si>
  <si>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</si>
  <si>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</si>
  <si>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</si>
  <si>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</si>
  <si>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</si>
  <si>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</si>
  <si>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</si>
  <si>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</si>
  <si>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</si>
  <si>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</si>
  <si>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</si>
  <si>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</si>
  <si>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</si>
  <si>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</si>
  <si>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</si>
  <si>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</si>
  <si>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</si>
  <si>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</si>
  <si>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</si>
  <si>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</si>
  <si>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</si>
  <si>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</si>
  <si>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</si>
  <si>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</si>
  <si>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</si>
  <si>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</si>
  <si>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</si>
  <si>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</si>
  <si>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</si>
  <si>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</si>
  <si>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</si>
  <si>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</si>
  <si>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</si>
  <si>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</si>
  <si>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</si>
  <si>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</si>
  <si>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</si>
  <si>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</si>
  <si>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</si>
  <si>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</si>
  <si>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</si>
  <si>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</si>
  <si>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</si>
  <si>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</si>
  <si>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</si>
  <si>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</si>
  <si>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</si>
  <si>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</si>
  <si>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</si>
  <si>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</si>
  <si>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</si>
  <si>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</si>
  <si>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</si>
  <si>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</si>
  <si>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</si>
  <si>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</si>
  <si>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</si>
  <si>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</si>
  <si>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</si>
  <si>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</si>
  <si>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</si>
  <si>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</si>
  <si>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</si>
  <si>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</si>
  <si>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</si>
  <si>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</si>
  <si>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</si>
  <si>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</si>
  <si>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</si>
  <si>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</si>
  <si>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</si>
  <si>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</si>
  <si>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</si>
  <si>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</si>
  <si>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</si>
  <si>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</si>
  <si>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</si>
  <si>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</si>
  <si>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</si>
  <si>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</si>
  <si>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</si>
  <si>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</si>
  <si>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</si>
  <si>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</si>
  <si>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</si>
  <si>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</si>
  <si>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</si>
  <si>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</si>
  <si>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</si>
  <si>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</si>
  <si>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</si>
  <si>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</si>
  <si>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</si>
  <si>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</si>
  <si>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</si>
  <si>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</si>
  <si>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</si>
  <si>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</si>
  <si>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</si>
  <si>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</si>
  <si>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</si>
  <si>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</si>
  <si>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</si>
  <si>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</si>
  <si>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</si>
  <si>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</si>
  <si>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</si>
  <si>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</si>
  <si>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</si>
  <si>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</si>
  <si>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</si>
  <si>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</si>
  <si>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</si>
  <si>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</si>
  <si>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</si>
  <si>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</si>
  <si>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</si>
  <si>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</si>
  <si>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</si>
  <si>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</si>
  <si>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</si>
  <si>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</si>
  <si>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</si>
  <si>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</si>
  <si>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</si>
  <si>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</si>
  <si>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</si>
  <si>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</si>
  <si>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</si>
  <si>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</si>
  <si>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</si>
  <si>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</si>
  <si>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</si>
  <si>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</si>
  <si>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</si>
  <si>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</si>
  <si>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</si>
  <si>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</si>
  <si>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</si>
  <si>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</si>
  <si>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</si>
  <si>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</si>
  <si>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</si>
  <si>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</si>
  <si>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</si>
  <si>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</si>
  <si>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</si>
  <si>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</si>
  <si>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</si>
  <si>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</si>
  <si>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</si>
  <si>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</si>
  <si>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</si>
  <si>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</si>
  <si>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</si>
  <si>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</si>
  <si>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</si>
  <si>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</si>
  <si>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</si>
  <si>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</si>
  <si>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</si>
  <si>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</si>
  <si>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</si>
  <si>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</si>
  <si>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</si>
  <si>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</si>
  <si>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</si>
  <si>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</si>
  <si>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</si>
  <si>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</si>
  <si>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</si>
  <si>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</si>
  <si>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</si>
  <si>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</si>
  <si>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</si>
  <si>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</si>
  <si>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</si>
  <si>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</si>
  <si>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</si>
  <si>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</si>
  <si>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</si>
  <si>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</si>
  <si>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</si>
  <si>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</si>
  <si>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</si>
  <si>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</si>
  <si>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</si>
  <si>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</si>
  <si>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</si>
  <si>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</si>
  <si>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</si>
  <si>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</si>
  <si>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</si>
  <si>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</si>
  <si>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</si>
  <si>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</si>
  <si>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</si>
  <si>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</si>
  <si>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</si>
  <si>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</si>
  <si>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</si>
  <si>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</si>
  <si>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</si>
  <si>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</si>
  <si>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</si>
  <si>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</si>
  <si>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</si>
  <si>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</si>
  <si>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</si>
  <si>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</si>
  <si>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</si>
  <si>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</si>
  <si>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</si>
  <si>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</si>
  <si>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</si>
  <si>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</si>
  <si>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</si>
  <si>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</si>
  <si>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</si>
  <si>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</si>
  <si>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</si>
  <si>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</si>
  <si>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</si>
  <si>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</si>
  <si>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</si>
  <si>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</si>
  <si>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</si>
  <si>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</si>
  <si>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</si>
  <si>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</si>
  <si>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</si>
  <si>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</si>
  <si>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</si>
  <si>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</si>
  <si>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</si>
  <si>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</si>
  <si>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</si>
  <si>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</si>
  <si>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</si>
  <si>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</si>
  <si>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</si>
  <si>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</si>
  <si>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</si>
  <si>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</si>
  <si>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</si>
  <si>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</si>
  <si>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</si>
  <si>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</si>
  <si>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</si>
  <si>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</si>
  <si>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</si>
  <si>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</si>
  <si>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</si>
  <si>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</si>
  <si>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</si>
  <si>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</si>
  <si>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</si>
  <si>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</si>
  <si>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</si>
  <si>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</si>
  <si>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</si>
  <si>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</si>
  <si>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</si>
  <si>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</si>
  <si>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</si>
  <si>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</si>
  <si>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</si>
  <si>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</si>
  <si>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</si>
  <si>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</si>
  <si>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</si>
  <si>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</si>
  <si>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</si>
  <si>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</si>
  <si>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</si>
  <si>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</si>
  <si>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</si>
  <si>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</si>
  <si>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</si>
  <si>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</si>
  <si>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</si>
  <si>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</si>
  <si>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</si>
  <si>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</si>
  <si>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</si>
  <si>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</si>
  <si>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</si>
  <si>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</si>
  <si>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</si>
  <si>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</si>
  <si>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</si>
  <si>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</si>
  <si>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</si>
  <si>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</si>
  <si>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</si>
  <si>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</si>
  <si>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</si>
  <si>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</si>
  <si>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</si>
  <si>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</si>
  <si>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</si>
  <si>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</si>
  <si>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</si>
  <si>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</si>
  <si>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</si>
  <si>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</si>
  <si>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</si>
  <si>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</si>
  <si>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</si>
  <si>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</si>
  <si>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</si>
  <si>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</si>
  <si>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</si>
  <si>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</si>
  <si>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</si>
  <si>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</si>
  <si>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</si>
  <si>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</si>
  <si>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</si>
  <si>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</si>
  <si>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</si>
  <si>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</si>
  <si>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</si>
  <si>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</si>
  <si>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</si>
  <si>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</si>
  <si>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</si>
  <si>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</si>
  <si>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</si>
  <si>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</si>
  <si>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</si>
  <si>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</si>
  <si>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</si>
  <si>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</si>
  <si>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</si>
  <si>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</si>
  <si>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</si>
  <si>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</si>
  <si>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</si>
  <si>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</si>
  <si>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</si>
  <si>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</si>
  <si>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</si>
  <si>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</si>
  <si>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</si>
  <si>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</si>
  <si>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</si>
  <si>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</si>
  <si>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</si>
  <si>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</si>
  <si>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</si>
  <si>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</si>
  <si>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</si>
  <si>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</si>
  <si>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</si>
  <si>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</si>
  <si>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</si>
  <si>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</si>
  <si>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</si>
  <si>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</si>
  <si>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</si>
  <si>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</si>
  <si>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</si>
  <si>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</si>
  <si>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</si>
  <si>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</si>
  <si>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</si>
  <si>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</si>
  <si>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</si>
  <si>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</si>
  <si>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</si>
  <si>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</si>
  <si>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</si>
  <si>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</si>
  <si>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</si>
  <si>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</si>
  <si>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</si>
  <si>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</si>
  <si>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</si>
  <si>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</si>
  <si>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</si>
  <si>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</si>
  <si>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</si>
  <si>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</si>
  <si>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</si>
  <si>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</si>
  <si>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</si>
  <si>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</si>
  <si>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</si>
  <si>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</si>
  <si>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</si>
  <si>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</si>
  <si>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</si>
  <si>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</si>
  <si>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</si>
  <si>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</si>
  <si>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</si>
  <si>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</si>
  <si>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</si>
  <si>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</si>
  <si>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</si>
  <si>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</si>
  <si>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</si>
  <si>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</si>
  <si>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</si>
  <si>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</si>
  <si>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</si>
  <si>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</si>
  <si>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</si>
  <si>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</si>
  <si>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</si>
  <si>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</si>
  <si>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</si>
  <si>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</si>
  <si>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</si>
  <si>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</si>
  <si>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</si>
  <si>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</si>
  <si>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</si>
  <si>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</si>
  <si>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</si>
  <si>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</si>
  <si>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</si>
  <si>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</si>
  <si>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</si>
  <si>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</si>
  <si>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</si>
  <si>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</si>
  <si>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</si>
  <si>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</si>
  <si>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</si>
  <si>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</si>
  <si>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</si>
  <si>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</si>
  <si>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</si>
  <si>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</si>
  <si>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</si>
  <si>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</si>
  <si>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</si>
  <si>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</si>
  <si>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</si>
  <si>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</si>
  <si>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</si>
  <si>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</si>
  <si>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</si>
  <si>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</si>
  <si>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</si>
  <si>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</si>
  <si>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</si>
  <si>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</si>
  <si>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</si>
  <si>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</si>
  <si>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</si>
  <si>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</si>
  <si>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</si>
  <si>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</si>
  <si>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</si>
  <si>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</si>
  <si>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</si>
  <si>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</si>
  <si>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</si>
  <si>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</si>
  <si>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</si>
  <si>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</si>
  <si>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</si>
  <si>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</si>
  <si>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</si>
  <si>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</si>
  <si>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</si>
  <si>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</si>
  <si>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</si>
  <si>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</si>
  <si>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</si>
  <si>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</si>
  <si>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</si>
  <si>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</si>
  <si>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</si>
  <si>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</si>
  <si>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</si>
  <si>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</si>
  <si>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</si>
  <si>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</si>
  <si>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</si>
  <si>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</si>
  <si>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</si>
  <si>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</si>
  <si>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</si>
  <si>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</si>
  <si>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</si>
  <si>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</si>
  <si>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</si>
  <si>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</si>
  <si>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</si>
  <si>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</si>
  <si>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</si>
  <si>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</si>
  <si>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</si>
  <si>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</si>
  <si>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</si>
  <si>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</si>
  <si>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</si>
  <si>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</si>
  <si>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</si>
  <si>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</si>
  <si>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</si>
  <si>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</si>
  <si>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</si>
  <si>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</si>
  <si>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</si>
  <si>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</si>
  <si>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</si>
  <si>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</si>
  <si>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</si>
  <si>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</si>
  <si>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</si>
  <si>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</si>
  <si>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</si>
  <si>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</si>
  <si>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</si>
  <si>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</si>
  <si>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</si>
  <si>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</si>
  <si>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</si>
  <si>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</si>
  <si>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</si>
  <si>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</si>
  <si>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</si>
  <si>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</si>
  <si>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</si>
  <si>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</si>
  <si>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</si>
  <si>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</si>
  <si>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</si>
  <si>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</si>
  <si>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</si>
  <si>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</si>
  <si>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</si>
  <si>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</si>
  <si>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</si>
  <si>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</si>
  <si>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</si>
  <si>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</si>
  <si>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</si>
  <si>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</si>
  <si>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</si>
  <si>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</si>
  <si>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</si>
  <si>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</si>
  <si>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</si>
  <si>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</si>
  <si>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</si>
  <si>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</si>
  <si>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</si>
  <si>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</si>
  <si>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</si>
  <si>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</si>
  <si>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</si>
  <si>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</si>
  <si>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</si>
  <si>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</si>
  <si>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</si>
  <si>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</si>
  <si>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</si>
  <si>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</si>
  <si>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</si>
  <si>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</si>
  <si>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</si>
  <si>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</si>
  <si>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</si>
  <si>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</si>
  <si>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</si>
  <si>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</si>
  <si>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</si>
  <si>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</si>
  <si>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</si>
  <si>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</si>
  <si>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</si>
  <si>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</si>
  <si>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</si>
  <si>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</si>
  <si>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</si>
  <si>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</si>
  <si>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</si>
  <si>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</si>
  <si>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</si>
  <si>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</si>
  <si>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</si>
  <si>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</si>
  <si>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</si>
  <si>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</si>
  <si>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</si>
  <si>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</si>
  <si>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</si>
  <si>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</si>
  <si>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</si>
  <si>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</si>
  <si>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</si>
  <si>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</si>
  <si>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</si>
  <si>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</si>
  <si>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</si>
  <si>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</si>
  <si>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</si>
  <si>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</si>
  <si>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</si>
  <si>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</si>
  <si>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</si>
  <si>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</si>
  <si>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</si>
  <si>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</si>
  <si>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</si>
  <si>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</si>
  <si>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</si>
  <si>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</si>
  <si>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</si>
  <si>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</si>
  <si>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</si>
  <si>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</si>
  <si>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</si>
  <si>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</si>
  <si>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</si>
  <si>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</si>
  <si>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</si>
  <si>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</si>
  <si>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</si>
  <si>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</si>
  <si>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</si>
  <si>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</si>
  <si>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</si>
  <si>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</si>
  <si>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</si>
  <si>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</si>
  <si>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</si>
  <si>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</si>
  <si>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</si>
  <si>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</si>
  <si>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</si>
  <si>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</si>
  <si>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</si>
  <si>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</si>
  <si>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</si>
  <si>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</si>
  <si>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</si>
  <si>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</si>
  <si>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</si>
  <si>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</si>
  <si>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</si>
  <si>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</si>
  <si>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</si>
  <si>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</si>
  <si>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</si>
  <si>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</si>
  <si>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</si>
  <si>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</si>
  <si>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</si>
  <si>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</si>
  <si>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</si>
  <si>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</si>
  <si>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</si>
  <si>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</si>
  <si>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</si>
  <si>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</si>
  <si>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</si>
  <si>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</si>
  <si>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</si>
  <si>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</si>
  <si>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</si>
  <si>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</si>
  <si>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</si>
  <si>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</si>
  <si>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</si>
  <si>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</si>
  <si>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</si>
  <si>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</si>
  <si>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</si>
  <si>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</si>
  <si>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</si>
  <si>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</si>
  <si>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</si>
  <si>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</si>
  <si>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</si>
  <si>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</si>
  <si>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</si>
  <si>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</si>
  <si>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</si>
  <si>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</si>
  <si>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</si>
  <si>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</si>
  <si>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</si>
  <si>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</si>
  <si>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</si>
  <si>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</si>
  <si>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</si>
  <si>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</si>
  <si>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</si>
  <si>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</si>
  <si>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</si>
  <si>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</si>
  <si>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</si>
  <si>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</si>
  <si>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</si>
  <si>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</si>
  <si>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</si>
  <si>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</si>
  <si>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</si>
  <si>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</si>
  <si>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</si>
  <si>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</si>
  <si>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</si>
  <si>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</si>
  <si>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</si>
  <si>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</si>
  <si>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</si>
  <si>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</si>
  <si>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</si>
  <si>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</si>
  <si>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</si>
  <si>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</si>
  <si>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</si>
  <si>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C&amp;K Switches</t>
    <phoneticPr fontId="95" type="noConversion"/>
  </si>
  <si>
    <t>Amy Chen</t>
    <phoneticPr fontId="95" type="noConversion"/>
  </si>
  <si>
    <t>ck.green@ckswitches.com</t>
    <phoneticPr fontId="95" type="noConversion"/>
  </si>
  <si>
    <t>Tony Tan</t>
    <phoneticPr fontId="95" type="noConversion"/>
  </si>
  <si>
    <t>86-752-2273999</t>
    <phoneticPr fontId="95" type="noConversion"/>
  </si>
  <si>
    <t>Malaysia Smelting Corporation (MSC) does source from DRC, but not in the conflict area, and material is from CFSP compliant smelters.</t>
    <phoneticPr fontId="95" type="noConversion"/>
  </si>
  <si>
    <t>DODUCO GmbH</t>
  </si>
  <si>
    <t>Eco-System Recycling Co., Ltd.</t>
  </si>
  <si>
    <t>Hong Kong</t>
  </si>
  <si>
    <t>Nei Mongol</t>
  </si>
  <si>
    <t>Jiangxi</t>
  </si>
  <si>
    <t>UNITED STATES</t>
  </si>
  <si>
    <t>Shandong</t>
  </si>
  <si>
    <t>TAIWAN</t>
  </si>
  <si>
    <t>Henan</t>
  </si>
  <si>
    <t>Gold Refinery of Zijin Mining Group CO., Ltd.</t>
  </si>
  <si>
    <t>Fujian</t>
  </si>
  <si>
    <t>BOLIVIA</t>
  </si>
  <si>
    <t>Yunnan</t>
  </si>
  <si>
    <t>Guangxi</t>
  </si>
  <si>
    <t>Operaciones Metalurgical S.A.</t>
  </si>
  <si>
    <t>PT Timah (Persero) Tbk Kundur</t>
  </si>
  <si>
    <t>PT Timah (Persero) Tbk Mentok</t>
  </si>
  <si>
    <t>Asia Technical Director</t>
    <phoneticPr fontId="95" type="noConversion"/>
  </si>
  <si>
    <t>https://www.ckswitches.com/about-us/environment/</t>
    <phoneticPr fontId="9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</si>
</sst>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3" formatCode="_ * #,##0.00_ ;_ * \-#,##0.00_ ;_ * &quot;-&quot;??_ ;_ @_ "/>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96">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9"/>
      <name val="宋体"/>
      <family val="3"/>
      <charset val="134"/>
    </font>
  </fonts>
  <fills count="6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740">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8" fillId="0" borderId="0"/>
    <xf numFmtId="0" fontId="88"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8"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80" fontId="2" fillId="0" borderId="0"/>
    <xf numFmtId="180"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8" fillId="0" borderId="0"/>
    <xf numFmtId="0" fontId="88" fillId="0" borderId="0"/>
    <xf numFmtId="0" fontId="88" fillId="0" borderId="0"/>
    <xf numFmtId="180" fontId="88" fillId="0" borderId="0"/>
    <xf numFmtId="0" fontId="1" fillId="0" borderId="0"/>
    <xf numFmtId="0" fontId="55" fillId="45" borderId="0" applyNumberFormat="0" applyBorder="0" applyAlignment="0" applyProtection="0"/>
    <xf numFmtId="0" fontId="55" fillId="49" borderId="0" applyNumberFormat="0" applyBorder="0" applyAlignment="0" applyProtection="0"/>
    <xf numFmtId="0" fontId="55" fillId="53" borderId="0" applyNumberFormat="0" applyBorder="0" applyAlignment="0" applyProtection="0"/>
    <xf numFmtId="0" fontId="55" fillId="57" borderId="0" applyNumberFormat="0" applyBorder="0" applyAlignment="0" applyProtection="0"/>
    <xf numFmtId="0" fontId="55" fillId="61" borderId="0" applyNumberFormat="0" applyBorder="0" applyAlignment="0" applyProtection="0"/>
    <xf numFmtId="0" fontId="55" fillId="65" borderId="0" applyNumberFormat="0" applyBorder="0" applyAlignment="0" applyProtection="0"/>
    <xf numFmtId="0" fontId="55" fillId="46" borderId="0" applyNumberFormat="0" applyBorder="0" applyAlignment="0" applyProtection="0"/>
    <xf numFmtId="0" fontId="55" fillId="50" borderId="0" applyNumberFormat="0" applyBorder="0" applyAlignment="0" applyProtection="0"/>
    <xf numFmtId="0" fontId="55" fillId="54" borderId="0" applyNumberFormat="0" applyBorder="0" applyAlignment="0" applyProtection="0"/>
    <xf numFmtId="0" fontId="55" fillId="58" borderId="0" applyNumberFormat="0" applyBorder="0" applyAlignment="0" applyProtection="0"/>
    <xf numFmtId="0" fontId="55" fillId="62" borderId="0" applyNumberFormat="0" applyBorder="0" applyAlignment="0" applyProtection="0"/>
    <xf numFmtId="0" fontId="55" fillId="66" borderId="0" applyNumberFormat="0" applyBorder="0" applyAlignment="0" applyProtection="0"/>
    <xf numFmtId="0" fontId="56" fillId="47" borderId="0" applyNumberFormat="0" applyBorder="0" applyAlignment="0" applyProtection="0"/>
    <xf numFmtId="0" fontId="56" fillId="51" borderId="0" applyNumberFormat="0" applyBorder="0" applyAlignment="0" applyProtection="0"/>
    <xf numFmtId="0" fontId="56" fillId="55" borderId="0" applyNumberFormat="0" applyBorder="0" applyAlignment="0" applyProtection="0"/>
    <xf numFmtId="0" fontId="56" fillId="59" borderId="0" applyNumberFormat="0" applyBorder="0" applyAlignment="0" applyProtection="0"/>
    <xf numFmtId="0" fontId="56" fillId="63" borderId="0" applyNumberFormat="0" applyBorder="0" applyAlignment="0" applyProtection="0"/>
    <xf numFmtId="0" fontId="56" fillId="67" borderId="0" applyNumberFormat="0" applyBorder="0" applyAlignment="0" applyProtection="0"/>
    <xf numFmtId="0" fontId="56" fillId="44" borderId="0" applyNumberFormat="0" applyBorder="0" applyAlignment="0" applyProtection="0"/>
    <xf numFmtId="0" fontId="56" fillId="48" borderId="0" applyNumberFormat="0" applyBorder="0" applyAlignment="0" applyProtection="0"/>
    <xf numFmtId="0" fontId="56" fillId="52" borderId="0" applyNumberFormat="0" applyBorder="0" applyAlignment="0" applyProtection="0"/>
    <xf numFmtId="0" fontId="56" fillId="56" borderId="0" applyNumberFormat="0" applyBorder="0" applyAlignment="0" applyProtection="0"/>
    <xf numFmtId="0" fontId="56" fillId="60" borderId="0" applyNumberFormat="0" applyBorder="0" applyAlignment="0" applyProtection="0"/>
    <xf numFmtId="0" fontId="56" fillId="64" borderId="0" applyNumberFormat="0" applyBorder="0" applyAlignment="0" applyProtection="0"/>
    <xf numFmtId="0" fontId="57" fillId="38" borderId="0" applyNumberFormat="0" applyBorder="0" applyAlignment="0" applyProtection="0"/>
    <xf numFmtId="0" fontId="58" fillId="38" borderId="0" applyNumberFormat="0" applyBorder="0" applyAlignment="0" applyProtection="0"/>
    <xf numFmtId="0" fontId="59" fillId="41" borderId="1" applyNumberFormat="0" applyAlignment="0" applyProtection="0"/>
    <xf numFmtId="0" fontId="60" fillId="42" borderId="2" applyNumberFormat="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2" fillId="37" borderId="0" applyNumberFormat="0" applyBorder="0" applyAlignment="0" applyProtection="0"/>
    <xf numFmtId="0" fontId="64" fillId="0" borderId="65" applyNumberFormat="0" applyFill="0" applyAlignment="0" applyProtection="0"/>
    <xf numFmtId="0" fontId="8" fillId="0" borderId="0" applyNumberFormat="0" applyFill="0" applyBorder="0" applyAlignment="0" applyProtection="0">
      <alignment vertical="top"/>
      <protection locked="0"/>
    </xf>
    <xf numFmtId="180" fontId="66" fillId="0" borderId="0" applyNumberFormat="0" applyFill="0" applyBorder="0" applyAlignment="0" applyProtection="0"/>
    <xf numFmtId="180" fontId="66" fillId="0" borderId="0" applyNumberFormat="0" applyFill="0" applyBorder="0" applyAlignment="0" applyProtection="0">
      <alignment vertical="top"/>
      <protection locked="0"/>
    </xf>
    <xf numFmtId="180" fontId="6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80" fontId="66" fillId="0" borderId="0" applyNumberFormat="0" applyFill="0" applyBorder="0" applyAlignment="0" applyProtection="0">
      <alignment vertical="top"/>
      <protection locked="0"/>
    </xf>
    <xf numFmtId="0" fontId="69" fillId="40" borderId="1" applyNumberFormat="0" applyAlignment="0" applyProtection="0"/>
    <xf numFmtId="0" fontId="71" fillId="39" borderId="0" applyNumberFormat="0" applyBorder="0" applyAlignment="0" applyProtection="0"/>
    <xf numFmtId="0" fontId="55" fillId="43" borderId="7" applyNumberFormat="0" applyFont="0" applyAlignment="0" applyProtection="0"/>
    <xf numFmtId="0" fontId="75" fillId="41" borderId="8" applyNumberFormat="0" applyAlignment="0" applyProtection="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80"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2" fillId="0" borderId="0" xfId="0" applyFont="1"/>
    <xf numFmtId="180"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0" borderId="19" xfId="0" applyFont="1" applyBorder="1" applyAlignment="1" applyProtection="1">
      <alignment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740">
    <cellStyle name="20% - Accent1 2" xfId="1"/>
    <cellStyle name="20% - Accent1 2 2" xfId="593"/>
    <cellStyle name="20% - Accent2 2" xfId="2"/>
    <cellStyle name="20% - Accent2 2 2" xfId="594"/>
    <cellStyle name="20% - Accent3 2" xfId="3"/>
    <cellStyle name="20% - Accent3 2 2" xfId="595"/>
    <cellStyle name="20% - Accent4 2" xfId="4"/>
    <cellStyle name="20% - Accent4 2 2" xfId="596"/>
    <cellStyle name="20% - Accent5 2" xfId="5"/>
    <cellStyle name="20% - Accent5 2 2" xfId="597"/>
    <cellStyle name="20% - Accent6 2" xfId="6"/>
    <cellStyle name="20% - Accent6 2 2" xfId="598"/>
    <cellStyle name="40% - Accent1 2" xfId="7"/>
    <cellStyle name="40% - Accent1 2 2" xfId="599"/>
    <cellStyle name="40% - Accent2 2" xfId="8"/>
    <cellStyle name="40% - Accent2 2 2" xfId="600"/>
    <cellStyle name="40% - Accent3 2" xfId="9"/>
    <cellStyle name="40% - Accent3 2 2" xfId="601"/>
    <cellStyle name="40% - Accent4 2" xfId="10"/>
    <cellStyle name="40% - Accent4 2 2" xfId="602"/>
    <cellStyle name="40% - Accent5 2" xfId="11"/>
    <cellStyle name="40% - Accent5 2 2" xfId="603"/>
    <cellStyle name="40% - Accent6 2" xfId="12"/>
    <cellStyle name="40% - Accent6 2 2" xfId="604"/>
    <cellStyle name="60% - Accent1 2" xfId="13"/>
    <cellStyle name="60% - Accent1 2 2" xfId="605"/>
    <cellStyle name="60% - Accent2 2" xfId="14"/>
    <cellStyle name="60% - Accent2 2 2" xfId="606"/>
    <cellStyle name="60% - Accent3 2" xfId="15"/>
    <cellStyle name="60% - Accent3 2 2" xfId="607"/>
    <cellStyle name="60% - Accent4 2" xfId="16"/>
    <cellStyle name="60% - Accent4 2 2" xfId="608"/>
    <cellStyle name="60% - Accent5 2" xfId="17"/>
    <cellStyle name="60% - Accent5 2 2" xfId="609"/>
    <cellStyle name="60% - Accent6 2" xfId="18"/>
    <cellStyle name="60% - Accent6 2 2" xfId="610"/>
    <cellStyle name="Accent1 2" xfId="19"/>
    <cellStyle name="Accent1 2 2" xfId="611"/>
    <cellStyle name="Accent2 2" xfId="20"/>
    <cellStyle name="Accent2 2 2" xfId="612"/>
    <cellStyle name="Accent3 2" xfId="21"/>
    <cellStyle name="Accent3 2 2" xfId="613"/>
    <cellStyle name="Accent4 2" xfId="22"/>
    <cellStyle name="Accent4 2 2" xfId="614"/>
    <cellStyle name="Accent5 2" xfId="23"/>
    <cellStyle name="Accent5 2 2" xfId="615"/>
    <cellStyle name="Accent6 2" xfId="24"/>
    <cellStyle name="Accent6 2 2" xfId="616"/>
    <cellStyle name="Bad 2" xfId="25"/>
    <cellStyle name="Bad 2 2" xfId="617"/>
    <cellStyle name="Bad 3" xfId="26"/>
    <cellStyle name="Bad 3 2" xfId="618"/>
    <cellStyle name="Calculation 2" xfId="27"/>
    <cellStyle name="Calculation 2 2" xfId="619"/>
    <cellStyle name="Check Cell 2" xfId="28"/>
    <cellStyle name="Check Cell 2 2" xfId="620"/>
    <cellStyle name="Comma [0] 2" xfId="29"/>
    <cellStyle name="Comma [0] 2 2" xfId="621"/>
    <cellStyle name="Comma [0] 3" xfId="30"/>
    <cellStyle name="Comma [0] 4" xfId="31"/>
    <cellStyle name="Comma 10" xfId="32"/>
    <cellStyle name="Comma 10 2" xfId="62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623"/>
    <cellStyle name="Comma 110" xfId="44"/>
    <cellStyle name="Comma 111" xfId="45"/>
    <cellStyle name="Comma 112" xfId="46"/>
    <cellStyle name="Comma 113" xfId="47"/>
    <cellStyle name="Comma 114" xfId="48"/>
    <cellStyle name="Comma 115" xfId="49"/>
    <cellStyle name="Comma 116" xfId="50"/>
    <cellStyle name="Comma 116 2" xfId="624"/>
    <cellStyle name="Comma 117" xfId="51"/>
    <cellStyle name="Comma 117 2" xfId="625"/>
    <cellStyle name="Comma 118" xfId="52"/>
    <cellStyle name="Comma 118 2" xfId="626"/>
    <cellStyle name="Comma 119" xfId="53"/>
    <cellStyle name="Comma 119 2" xfId="627"/>
    <cellStyle name="Comma 12" xfId="54"/>
    <cellStyle name="Comma 12 2" xfId="628"/>
    <cellStyle name="Comma 120" xfId="55"/>
    <cellStyle name="Comma 120 2" xfId="629"/>
    <cellStyle name="Comma 121" xfId="56"/>
    <cellStyle name="Comma 121 2" xfId="630"/>
    <cellStyle name="Comma 122" xfId="57"/>
    <cellStyle name="Comma 122 2" xfId="631"/>
    <cellStyle name="Comma 123" xfId="58"/>
    <cellStyle name="Comma 123 2" xfId="632"/>
    <cellStyle name="Comma 124" xfId="59"/>
    <cellStyle name="Comma 124 2" xfId="633"/>
    <cellStyle name="Comma 125" xfId="60"/>
    <cellStyle name="Comma 125 2" xfId="634"/>
    <cellStyle name="Comma 126" xfId="61"/>
    <cellStyle name="Comma 126 2" xfId="635"/>
    <cellStyle name="Comma 127" xfId="62"/>
    <cellStyle name="Comma 127 2" xfId="636"/>
    <cellStyle name="Comma 128" xfId="63"/>
    <cellStyle name="Comma 128 2" xfId="637"/>
    <cellStyle name="Comma 129" xfId="64"/>
    <cellStyle name="Comma 129 2" xfId="638"/>
    <cellStyle name="Comma 13" xfId="65"/>
    <cellStyle name="Comma 13 2" xfId="639"/>
    <cellStyle name="Comma 130" xfId="66"/>
    <cellStyle name="Comma 130 2" xfId="640"/>
    <cellStyle name="Comma 131" xfId="67"/>
    <cellStyle name="Comma 131 2" xfId="641"/>
    <cellStyle name="Comma 132" xfId="68"/>
    <cellStyle name="Comma 132 2" xfId="642"/>
    <cellStyle name="Comma 133" xfId="69"/>
    <cellStyle name="Comma 133 2" xfId="643"/>
    <cellStyle name="Comma 134" xfId="70"/>
    <cellStyle name="Comma 134 2" xfId="644"/>
    <cellStyle name="Comma 135" xfId="71"/>
    <cellStyle name="Comma 135 2" xfId="645"/>
    <cellStyle name="Comma 136" xfId="72"/>
    <cellStyle name="Comma 136 2" xfId="646"/>
    <cellStyle name="Comma 137" xfId="73"/>
    <cellStyle name="Comma 137 2" xfId="647"/>
    <cellStyle name="Comma 138" xfId="74"/>
    <cellStyle name="Comma 138 2" xfId="648"/>
    <cellStyle name="Comma 139" xfId="75"/>
    <cellStyle name="Comma 14" xfId="76"/>
    <cellStyle name="Comma 14 2" xfId="649"/>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650"/>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651"/>
    <cellStyle name="Comma 160" xfId="99"/>
    <cellStyle name="Comma 160 2" xfId="652"/>
    <cellStyle name="Comma 161" xfId="100"/>
    <cellStyle name="Comma 161 2" xfId="653"/>
    <cellStyle name="Comma 162" xfId="101"/>
    <cellStyle name="Comma 162 2" xfId="654"/>
    <cellStyle name="Comma 163" xfId="102"/>
    <cellStyle name="Comma 163 2" xfId="655"/>
    <cellStyle name="Comma 164" xfId="103"/>
    <cellStyle name="Comma 164 2" xfId="656"/>
    <cellStyle name="Comma 165" xfId="104"/>
    <cellStyle name="Comma 165 2" xfId="657"/>
    <cellStyle name="Comma 166" xfId="105"/>
    <cellStyle name="Comma 166 2" xfId="658"/>
    <cellStyle name="Comma 167" xfId="106"/>
    <cellStyle name="Comma 167 2" xfId="659"/>
    <cellStyle name="Comma 168" xfId="107"/>
    <cellStyle name="Comma 168 2" xfId="660"/>
    <cellStyle name="Comma 169" xfId="108"/>
    <cellStyle name="Comma 169 2" xfId="661"/>
    <cellStyle name="Comma 17" xfId="109"/>
    <cellStyle name="Comma 17 2" xfId="662"/>
    <cellStyle name="Comma 170" xfId="110"/>
    <cellStyle name="Comma 170 2" xfId="663"/>
    <cellStyle name="Comma 171" xfId="111"/>
    <cellStyle name="Comma 171 2" xfId="664"/>
    <cellStyle name="Comma 172" xfId="112"/>
    <cellStyle name="Comma 172 2" xfId="665"/>
    <cellStyle name="Comma 173" xfId="113"/>
    <cellStyle name="Comma 173 2" xfId="666"/>
    <cellStyle name="Comma 174" xfId="114"/>
    <cellStyle name="Comma 174 2" xfId="667"/>
    <cellStyle name="Comma 175" xfId="115"/>
    <cellStyle name="Comma 175 2" xfId="668"/>
    <cellStyle name="Comma 176" xfId="116"/>
    <cellStyle name="Comma 176 2" xfId="669"/>
    <cellStyle name="Comma 177" xfId="117"/>
    <cellStyle name="Comma 177 2" xfId="670"/>
    <cellStyle name="Comma 178" xfId="118"/>
    <cellStyle name="Comma 178 2" xfId="671"/>
    <cellStyle name="Comma 179" xfId="119"/>
    <cellStyle name="Comma 179 2" xfId="672"/>
    <cellStyle name="Comma 18" xfId="120"/>
    <cellStyle name="Comma 18 2" xfId="673"/>
    <cellStyle name="Comma 180" xfId="121"/>
    <cellStyle name="Comma 180 2" xfId="674"/>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675"/>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676"/>
    <cellStyle name="Comma 20" xfId="143"/>
    <cellStyle name="Comma 20 2" xfId="677"/>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678"/>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679"/>
    <cellStyle name="Comma 220" xfId="166"/>
    <cellStyle name="Comma 221" xfId="167"/>
    <cellStyle name="Comma 222" xfId="168"/>
    <cellStyle name="Comma 223" xfId="169"/>
    <cellStyle name="Comma 23" xfId="170"/>
    <cellStyle name="Comma 23 2" xfId="680"/>
    <cellStyle name="Comma 24" xfId="171"/>
    <cellStyle name="Comma 24 2" xfId="681"/>
    <cellStyle name="Comma 25" xfId="172"/>
    <cellStyle name="Comma 25 2" xfId="682"/>
    <cellStyle name="Comma 26" xfId="173"/>
    <cellStyle name="Comma 26 2" xfId="683"/>
    <cellStyle name="Comma 27" xfId="174"/>
    <cellStyle name="Comma 27 2" xfId="684"/>
    <cellStyle name="Comma 28" xfId="175"/>
    <cellStyle name="Comma 28 2" xfId="685"/>
    <cellStyle name="Comma 29" xfId="176"/>
    <cellStyle name="Comma 29 2" xfId="686"/>
    <cellStyle name="Comma 3" xfId="177"/>
    <cellStyle name="Comma 3 2" xfId="687"/>
    <cellStyle name="Comma 30" xfId="178"/>
    <cellStyle name="Comma 30 2" xfId="688"/>
    <cellStyle name="Comma 31" xfId="179"/>
    <cellStyle name="Comma 31 2" xfId="689"/>
    <cellStyle name="Comma 32" xfId="180"/>
    <cellStyle name="Comma 32 2" xfId="690"/>
    <cellStyle name="Comma 33" xfId="181"/>
    <cellStyle name="Comma 33 2" xfId="691"/>
    <cellStyle name="Comma 34" xfId="182"/>
    <cellStyle name="Comma 34 2" xfId="692"/>
    <cellStyle name="Comma 35" xfId="183"/>
    <cellStyle name="Comma 35 2" xfId="693"/>
    <cellStyle name="Comma 36" xfId="184"/>
    <cellStyle name="Comma 36 2" xfId="694"/>
    <cellStyle name="Comma 37" xfId="185"/>
    <cellStyle name="Comma 37 2" xfId="695"/>
    <cellStyle name="Comma 38" xfId="186"/>
    <cellStyle name="Comma 38 2" xfId="696"/>
    <cellStyle name="Comma 39" xfId="187"/>
    <cellStyle name="Comma 39 2" xfId="697"/>
    <cellStyle name="Comma 4" xfId="188"/>
    <cellStyle name="Comma 4 2" xfId="69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6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70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701"/>
    <cellStyle name="Comma 7" xfId="221"/>
    <cellStyle name="Comma 7 2" xfId="702"/>
    <cellStyle name="Comma 70" xfId="222"/>
    <cellStyle name="Comma 70 2" xfId="703"/>
    <cellStyle name="Comma 71" xfId="223"/>
    <cellStyle name="Comma 71 2" xfId="704"/>
    <cellStyle name="Comma 72" xfId="224"/>
    <cellStyle name="Comma 72 2" xfId="705"/>
    <cellStyle name="Comma 73" xfId="225"/>
    <cellStyle name="Comma 73 2" xfId="706"/>
    <cellStyle name="Comma 74" xfId="226"/>
    <cellStyle name="Comma 74 2" xfId="707"/>
    <cellStyle name="Comma 75" xfId="227"/>
    <cellStyle name="Comma 75 2" xfId="708"/>
    <cellStyle name="Comma 76" xfId="228"/>
    <cellStyle name="Comma 76 2" xfId="709"/>
    <cellStyle name="Comma 77" xfId="229"/>
    <cellStyle name="Comma 77 2" xfId="710"/>
    <cellStyle name="Comma 78" xfId="230"/>
    <cellStyle name="Comma 78 2" xfId="711"/>
    <cellStyle name="Comma 79" xfId="231"/>
    <cellStyle name="Comma 79 2" xfId="712"/>
    <cellStyle name="Comma 8" xfId="232"/>
    <cellStyle name="Comma 8 2" xfId="713"/>
    <cellStyle name="Comma 80" xfId="233"/>
    <cellStyle name="Comma 80 2" xfId="714"/>
    <cellStyle name="Comma 81" xfId="234"/>
    <cellStyle name="Comma 81 2" xfId="715"/>
    <cellStyle name="Comma 82" xfId="235"/>
    <cellStyle name="Comma 82 2" xfId="716"/>
    <cellStyle name="Comma 83" xfId="236"/>
    <cellStyle name="Comma 83 2" xfId="717"/>
    <cellStyle name="Comma 84" xfId="237"/>
    <cellStyle name="Comma 84 2" xfId="718"/>
    <cellStyle name="Comma 85" xfId="238"/>
    <cellStyle name="Comma 85 2" xfId="719"/>
    <cellStyle name="Comma 86" xfId="239"/>
    <cellStyle name="Comma 86 2" xfId="720"/>
    <cellStyle name="Comma 87" xfId="240"/>
    <cellStyle name="Comma 87 2" xfId="721"/>
    <cellStyle name="Comma 88" xfId="241"/>
    <cellStyle name="Comma 88 2" xfId="722"/>
    <cellStyle name="Comma 89" xfId="242"/>
    <cellStyle name="Comma 89 2" xfId="723"/>
    <cellStyle name="Comma 9" xfId="243"/>
    <cellStyle name="Comma 9 2" xfId="724"/>
    <cellStyle name="Comma 90" xfId="244"/>
    <cellStyle name="Comma 90 2" xfId="725"/>
    <cellStyle name="Comma 91" xfId="245"/>
    <cellStyle name="Comma 91 2" xfId="726"/>
    <cellStyle name="Comma 92" xfId="246"/>
    <cellStyle name="Comma 92 2" xfId="727"/>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Good 2 2" xfId="728"/>
    <cellStyle name="Heading 1 2" xfId="483"/>
    <cellStyle name="Heading 2 2" xfId="484"/>
    <cellStyle name="Heading 2 2 2" xfId="729"/>
    <cellStyle name="Heading 3 2" xfId="485"/>
    <cellStyle name="Heading 4 2" xfId="486"/>
    <cellStyle name="Hyperlink 2" xfId="488"/>
    <cellStyle name="Hyperlink 2 2" xfId="731"/>
    <cellStyle name="Hyperlink 3" xfId="489"/>
    <cellStyle name="Hyperlink 4" xfId="490"/>
    <cellStyle name="Hyperlink 4 2" xfId="732"/>
    <cellStyle name="Hyperlink 5" xfId="491"/>
    <cellStyle name="Hyperlink 5 2" xfId="492"/>
    <cellStyle name="Hyperlink 5 3" xfId="733"/>
    <cellStyle name="Hyperlink 6" xfId="493"/>
    <cellStyle name="Hyperlink 6 2" xfId="734"/>
    <cellStyle name="Hyperlink 7" xfId="494"/>
    <cellStyle name="Hyperlink 7 2" xfId="735"/>
    <cellStyle name="Input 2" xfId="495"/>
    <cellStyle name="Input 2 2" xfId="736"/>
    <cellStyle name="Linked Cell 2" xfId="496"/>
    <cellStyle name="Neutral 2" xfId="497"/>
    <cellStyle name="Neutral 2 2" xfId="73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Note 2 2" xfId="738"/>
    <cellStyle name="Output 2" xfId="572"/>
    <cellStyle name="Output 2 2" xfId="739"/>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超链接 2" xfId="730"/>
    <cellStyle name="一般 7" xfId="588"/>
    <cellStyle name="표준 2" xfId="587"/>
  </cellStyles>
  <dxfs count="103">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F51" sqref="F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71"/>
      <c r="B2" s="38" t="s">
        <v>870</v>
      </c>
      <c r="C2" s="36"/>
      <c r="D2" s="208"/>
      <c r="E2" s="3"/>
      <c r="F2" s="36"/>
      <c r="G2" s="34"/>
    </row>
    <row r="3" spans="1:7">
      <c r="A3" s="371"/>
      <c r="B3" s="5" t="s">
        <v>862</v>
      </c>
      <c r="C3" s="6"/>
      <c r="D3" s="209"/>
      <c r="E3" s="3"/>
      <c r="F3" s="6"/>
      <c r="G3" s="34"/>
    </row>
    <row r="4" spans="1:7" ht="15.75">
      <c r="A4" s="371"/>
      <c r="B4" s="41" t="s">
        <v>872</v>
      </c>
      <c r="C4" s="7"/>
      <c r="D4" s="210"/>
      <c r="E4" s="3"/>
      <c r="F4" s="7"/>
      <c r="G4" s="34"/>
    </row>
    <row r="5" spans="1:7">
      <c r="A5" s="371"/>
      <c r="B5" s="40" t="s">
        <v>1063</v>
      </c>
      <c r="C5" s="4"/>
      <c r="D5" s="211"/>
      <c r="E5" s="3"/>
      <c r="F5" s="4"/>
      <c r="G5" s="34"/>
    </row>
    <row r="6" spans="1:7">
      <c r="A6" s="371"/>
      <c r="B6" s="8"/>
      <c r="C6" s="8"/>
      <c r="D6" s="212"/>
      <c r="E6" s="8"/>
      <c r="F6" s="8"/>
      <c r="G6" s="34"/>
    </row>
    <row r="7" spans="1:7">
      <c r="A7" s="371"/>
      <c r="B7" s="8"/>
      <c r="C7" s="8"/>
      <c r="D7" s="212"/>
      <c r="E7" s="8"/>
      <c r="F7" s="8"/>
      <c r="G7" s="34"/>
    </row>
    <row r="8" spans="1:7">
      <c r="A8" s="371"/>
      <c r="B8" s="8"/>
      <c r="C8" s="8"/>
      <c r="D8" s="212"/>
      <c r="E8" s="8"/>
      <c r="F8" s="8"/>
      <c r="G8" s="34"/>
    </row>
    <row r="9" spans="1:7">
      <c r="A9" s="371"/>
      <c r="B9" s="374" t="s">
        <v>873</v>
      </c>
      <c r="C9" s="374"/>
      <c r="D9" s="374"/>
      <c r="E9" s="374"/>
      <c r="F9" s="374"/>
      <c r="G9" s="34"/>
    </row>
    <row r="10" spans="1:7" ht="27" customHeight="1">
      <c r="A10" s="371"/>
      <c r="B10" s="375" t="s">
        <v>448</v>
      </c>
      <c r="C10" s="375"/>
      <c r="D10" s="375"/>
      <c r="E10" s="375"/>
      <c r="F10" s="375"/>
      <c r="G10" s="34"/>
    </row>
    <row r="11" spans="1:7" ht="27" customHeight="1">
      <c r="A11" s="371"/>
      <c r="B11" s="376"/>
      <c r="C11" s="376"/>
      <c r="D11" s="376"/>
      <c r="E11" s="376"/>
      <c r="F11" s="376"/>
      <c r="G11" s="34"/>
    </row>
    <row r="12" spans="1:7">
      <c r="A12" s="371"/>
      <c r="B12" s="42" t="s">
        <v>871</v>
      </c>
      <c r="C12" s="43" t="s">
        <v>874</v>
      </c>
      <c r="D12" s="213" t="s">
        <v>875</v>
      </c>
      <c r="E12" s="43" t="s">
        <v>628</v>
      </c>
      <c r="F12" s="43" t="s">
        <v>629</v>
      </c>
      <c r="G12" s="34"/>
    </row>
    <row r="13" spans="1:7" ht="33.75">
      <c r="A13" s="371"/>
      <c r="B13" s="2">
        <v>1</v>
      </c>
      <c r="C13" s="37" t="s">
        <v>1111</v>
      </c>
      <c r="D13" s="39" t="s">
        <v>899</v>
      </c>
      <c r="E13" s="196" t="s">
        <v>876</v>
      </c>
      <c r="F13" s="196"/>
      <c r="G13" s="34"/>
    </row>
    <row r="14" spans="1:7" ht="33.75">
      <c r="A14" s="371"/>
      <c r="B14" s="2">
        <v>2</v>
      </c>
      <c r="C14" s="37" t="s">
        <v>1111</v>
      </c>
      <c r="D14" s="39" t="s">
        <v>1048</v>
      </c>
      <c r="E14" s="196" t="s">
        <v>540</v>
      </c>
      <c r="F14" s="196" t="s">
        <v>541</v>
      </c>
      <c r="G14" s="34"/>
    </row>
    <row r="15" spans="1:7" ht="89.1" customHeight="1">
      <c r="A15" s="371"/>
      <c r="B15" s="356">
        <v>2.0099999999999998</v>
      </c>
      <c r="C15" s="368" t="s">
        <v>1111</v>
      </c>
      <c r="D15" s="377" t="s">
        <v>2358</v>
      </c>
      <c r="E15" s="197" t="s">
        <v>630</v>
      </c>
      <c r="F15" s="197" t="s">
        <v>633</v>
      </c>
      <c r="G15" s="34"/>
    </row>
    <row r="16" spans="1:7" ht="99" customHeight="1">
      <c r="A16" s="371"/>
      <c r="B16" s="357"/>
      <c r="C16" s="369"/>
      <c r="D16" s="378"/>
      <c r="E16" s="198"/>
      <c r="F16" s="198" t="s">
        <v>631</v>
      </c>
      <c r="G16" s="34"/>
    </row>
    <row r="17" spans="1:7" ht="63" customHeight="1">
      <c r="A17" s="371"/>
      <c r="B17" s="358"/>
      <c r="C17" s="370"/>
      <c r="D17" s="379"/>
      <c r="E17" s="37"/>
      <c r="F17" s="37" t="s">
        <v>632</v>
      </c>
      <c r="G17" s="34"/>
    </row>
    <row r="18" spans="1:7" ht="117" customHeight="1">
      <c r="A18" s="371"/>
      <c r="B18" s="356">
        <v>2.02</v>
      </c>
      <c r="C18" s="368" t="s">
        <v>1111</v>
      </c>
      <c r="D18" s="377" t="s">
        <v>2359</v>
      </c>
      <c r="E18" s="197" t="s">
        <v>449</v>
      </c>
      <c r="F18" s="197" t="s">
        <v>535</v>
      </c>
      <c r="G18" s="34"/>
    </row>
    <row r="19" spans="1:7" ht="71.099999999999994" customHeight="1">
      <c r="A19" s="371"/>
      <c r="B19" s="357"/>
      <c r="C19" s="369"/>
      <c r="D19" s="378"/>
      <c r="E19" s="198" t="s">
        <v>539</v>
      </c>
      <c r="F19" s="198" t="s">
        <v>450</v>
      </c>
      <c r="G19" s="34"/>
    </row>
    <row r="20" spans="1:7" ht="90.75" customHeight="1">
      <c r="A20" s="371"/>
      <c r="B20" s="357"/>
      <c r="C20" s="369"/>
      <c r="D20" s="378"/>
      <c r="E20" s="198"/>
      <c r="F20" s="198" t="s">
        <v>635</v>
      </c>
      <c r="G20" s="34"/>
    </row>
    <row r="21" spans="1:7" ht="74.25" customHeight="1">
      <c r="A21" s="371"/>
      <c r="B21" s="358"/>
      <c r="C21" s="370"/>
      <c r="D21" s="379"/>
      <c r="E21" s="37"/>
      <c r="F21" s="37" t="s">
        <v>634</v>
      </c>
      <c r="G21" s="34"/>
    </row>
    <row r="22" spans="1:7" ht="90" customHeight="1">
      <c r="A22" s="371"/>
      <c r="B22" s="362">
        <v>2.0299999999999998</v>
      </c>
      <c r="C22" s="362" t="s">
        <v>845</v>
      </c>
      <c r="D22" s="365" t="s">
        <v>2360</v>
      </c>
      <c r="E22" s="368" t="s">
        <v>447</v>
      </c>
      <c r="F22" s="197" t="s">
        <v>470</v>
      </c>
      <c r="G22" s="34"/>
    </row>
    <row r="23" spans="1:7" ht="109.5" customHeight="1">
      <c r="A23" s="371"/>
      <c r="B23" s="363"/>
      <c r="C23" s="363"/>
      <c r="D23" s="366"/>
      <c r="E23" s="369"/>
      <c r="F23" s="198" t="s">
        <v>846</v>
      </c>
      <c r="G23" s="34"/>
    </row>
    <row r="24" spans="1:7" ht="74.25" customHeight="1">
      <c r="A24" s="371"/>
      <c r="B24" s="364"/>
      <c r="C24" s="364"/>
      <c r="D24" s="367"/>
      <c r="E24" s="370"/>
      <c r="F24" s="37" t="s">
        <v>446</v>
      </c>
      <c r="G24" s="34"/>
    </row>
    <row r="25" spans="1:7" ht="72" customHeight="1">
      <c r="A25" s="371"/>
      <c r="B25" s="2" t="s">
        <v>468</v>
      </c>
      <c r="C25" s="37" t="s">
        <v>469</v>
      </c>
      <c r="D25" s="39" t="s">
        <v>2361</v>
      </c>
      <c r="E25" s="37" t="s">
        <v>2356</v>
      </c>
      <c r="F25" s="37" t="s">
        <v>471</v>
      </c>
      <c r="G25" s="34"/>
    </row>
    <row r="26" spans="1:7" ht="98.1" customHeight="1">
      <c r="A26" s="371"/>
      <c r="B26" s="359">
        <v>3</v>
      </c>
      <c r="C26" s="356" t="s">
        <v>72</v>
      </c>
      <c r="D26" s="377" t="s">
        <v>2362</v>
      </c>
      <c r="E26" s="368" t="s">
        <v>0</v>
      </c>
      <c r="F26" s="197" t="s">
        <v>66</v>
      </c>
      <c r="G26" s="34"/>
    </row>
    <row r="27" spans="1:7" ht="90" customHeight="1">
      <c r="A27" s="371"/>
      <c r="B27" s="360"/>
      <c r="C27" s="357"/>
      <c r="D27" s="378"/>
      <c r="E27" s="369"/>
      <c r="F27" s="198" t="s">
        <v>61</v>
      </c>
      <c r="G27" s="34"/>
    </row>
    <row r="28" spans="1:7" ht="19.350000000000001" customHeight="1">
      <c r="A28" s="371"/>
      <c r="B28" s="360"/>
      <c r="C28" s="357"/>
      <c r="D28" s="378"/>
      <c r="E28" s="369"/>
      <c r="F28" s="198" t="s">
        <v>62</v>
      </c>
      <c r="G28" s="34"/>
    </row>
    <row r="29" spans="1:7" ht="74.45" customHeight="1">
      <c r="A29" s="371"/>
      <c r="B29" s="360"/>
      <c r="C29" s="357"/>
      <c r="D29" s="378"/>
      <c r="E29" s="369"/>
      <c r="F29" s="198" t="s">
        <v>63</v>
      </c>
      <c r="G29" s="34"/>
    </row>
    <row r="30" spans="1:7" ht="62.45" customHeight="1">
      <c r="A30" s="371"/>
      <c r="B30" s="360"/>
      <c r="C30" s="357"/>
      <c r="D30" s="378"/>
      <c r="E30" s="369"/>
      <c r="F30" s="198" t="s">
        <v>64</v>
      </c>
      <c r="G30" s="34"/>
    </row>
    <row r="31" spans="1:7" ht="81" customHeight="1">
      <c r="A31" s="371"/>
      <c r="B31" s="360"/>
      <c r="C31" s="357"/>
      <c r="D31" s="378"/>
      <c r="E31" s="369"/>
      <c r="F31" s="198" t="s">
        <v>65</v>
      </c>
      <c r="G31" s="34"/>
    </row>
    <row r="32" spans="1:7" ht="48.75" customHeight="1">
      <c r="A32" s="371"/>
      <c r="B32" s="360"/>
      <c r="C32" s="357"/>
      <c r="D32" s="378"/>
      <c r="E32" s="369"/>
      <c r="F32" s="198" t="s">
        <v>68</v>
      </c>
      <c r="G32" s="34"/>
    </row>
    <row r="33" spans="1:7" ht="98.45" customHeight="1">
      <c r="A33" s="371"/>
      <c r="B33" s="360"/>
      <c r="C33" s="357"/>
      <c r="D33" s="378"/>
      <c r="E33" s="369"/>
      <c r="F33" s="198" t="s">
        <v>67</v>
      </c>
      <c r="G33" s="34"/>
    </row>
    <row r="34" spans="1:7" ht="89.1" customHeight="1">
      <c r="A34" s="371"/>
      <c r="B34" s="360"/>
      <c r="C34" s="357"/>
      <c r="D34" s="378"/>
      <c r="E34" s="369"/>
      <c r="F34" s="198" t="s">
        <v>69</v>
      </c>
      <c r="G34" s="34"/>
    </row>
    <row r="35" spans="1:7" ht="29.1" customHeight="1">
      <c r="A35" s="371"/>
      <c r="B35" s="360"/>
      <c r="C35" s="357"/>
      <c r="D35" s="378"/>
      <c r="E35" s="369"/>
      <c r="F35" s="198" t="s">
        <v>70</v>
      </c>
      <c r="G35" s="34"/>
    </row>
    <row r="36" spans="1:7" ht="126.75">
      <c r="A36" s="371"/>
      <c r="B36" s="361"/>
      <c r="C36" s="358"/>
      <c r="D36" s="379"/>
      <c r="E36" s="370"/>
      <c r="F36" s="199" t="s">
        <v>71</v>
      </c>
      <c r="G36" s="34"/>
    </row>
    <row r="37" spans="1:7" ht="112.5">
      <c r="A37" s="371"/>
      <c r="B37" s="171">
        <v>3.01</v>
      </c>
      <c r="C37" s="172" t="s">
        <v>72</v>
      </c>
      <c r="D37" s="39" t="s">
        <v>2363</v>
      </c>
      <c r="E37" s="200" t="s">
        <v>1351</v>
      </c>
      <c r="F37" s="201" t="s">
        <v>1457</v>
      </c>
      <c r="G37" s="34"/>
    </row>
    <row r="38" spans="1:7" ht="101.25">
      <c r="A38" s="371"/>
      <c r="B38" s="171">
        <v>3.02</v>
      </c>
      <c r="C38" s="172" t="s">
        <v>1384</v>
      </c>
      <c r="D38" s="39" t="s">
        <v>2364</v>
      </c>
      <c r="E38" s="200" t="s">
        <v>1399</v>
      </c>
      <c r="F38" s="201" t="s">
        <v>1458</v>
      </c>
      <c r="G38" s="34"/>
    </row>
    <row r="39" spans="1:7" ht="101.25">
      <c r="A39" s="371"/>
      <c r="B39" s="182">
        <v>4</v>
      </c>
      <c r="C39" s="181" t="s">
        <v>1554</v>
      </c>
      <c r="D39" s="39" t="s">
        <v>2365</v>
      </c>
      <c r="E39" s="37" t="s">
        <v>2307</v>
      </c>
      <c r="F39" s="37" t="s">
        <v>1555</v>
      </c>
      <c r="G39" s="34"/>
    </row>
    <row r="40" spans="1:7" ht="56.25">
      <c r="A40" s="371"/>
      <c r="B40" s="171">
        <v>4.01</v>
      </c>
      <c r="C40" s="181" t="s">
        <v>1554</v>
      </c>
      <c r="D40" s="39" t="s">
        <v>2367</v>
      </c>
      <c r="E40" s="37" t="s">
        <v>2321</v>
      </c>
      <c r="F40" s="37" t="s">
        <v>2326</v>
      </c>
      <c r="G40" s="34"/>
    </row>
    <row r="41" spans="1:7" ht="56.25">
      <c r="A41" s="371"/>
      <c r="B41" s="171" t="s">
        <v>2354</v>
      </c>
      <c r="C41" s="181" t="s">
        <v>1554</v>
      </c>
      <c r="D41" s="39" t="s">
        <v>2366</v>
      </c>
      <c r="E41" s="37" t="s">
        <v>2357</v>
      </c>
      <c r="F41" s="37" t="s">
        <v>2355</v>
      </c>
      <c r="G41" s="34"/>
    </row>
    <row r="42" spans="1:7" ht="56.25">
      <c r="A42" s="371"/>
      <c r="B42" s="171" t="s">
        <v>2399</v>
      </c>
      <c r="C42" s="181" t="s">
        <v>1554</v>
      </c>
      <c r="D42" s="39" t="s">
        <v>2406</v>
      </c>
      <c r="E42" s="37" t="s">
        <v>2356</v>
      </c>
      <c r="F42" s="37" t="s">
        <v>2400</v>
      </c>
      <c r="G42" s="34"/>
    </row>
    <row r="43" spans="1:7" ht="123.75">
      <c r="A43" s="371"/>
      <c r="B43" s="193">
        <v>4.0999999999999996</v>
      </c>
      <c r="C43" s="181" t="s">
        <v>2405</v>
      </c>
      <c r="D43" s="194">
        <v>42867</v>
      </c>
      <c r="E43" s="202" t="s">
        <v>2408</v>
      </c>
      <c r="F43" s="37" t="s">
        <v>2407</v>
      </c>
      <c r="G43" s="34"/>
    </row>
    <row r="44" spans="1:7" ht="78.75">
      <c r="A44" s="371"/>
      <c r="B44" s="193">
        <v>4.2</v>
      </c>
      <c r="C44" s="181" t="s">
        <v>2405</v>
      </c>
      <c r="D44" s="194">
        <v>42704</v>
      </c>
      <c r="E44" s="202" t="s">
        <v>2625</v>
      </c>
      <c r="F44" s="37" t="s">
        <v>2598</v>
      </c>
      <c r="G44" s="34"/>
    </row>
    <row r="45" spans="1:7" ht="157.5">
      <c r="A45" s="371"/>
      <c r="B45" s="243">
        <v>5</v>
      </c>
      <c r="C45" s="181" t="s">
        <v>2405</v>
      </c>
      <c r="D45" s="194">
        <v>42867</v>
      </c>
      <c r="E45" s="202" t="s">
        <v>13032</v>
      </c>
      <c r="F45" s="37" t="s">
        <v>12754</v>
      </c>
      <c r="G45" s="34"/>
    </row>
    <row r="46" spans="1:7" ht="45">
      <c r="A46" s="371"/>
      <c r="B46" s="193">
        <v>5.01</v>
      </c>
      <c r="C46" s="181" t="s">
        <v>2405</v>
      </c>
      <c r="D46" s="194">
        <v>42907</v>
      </c>
      <c r="E46" s="202" t="s">
        <v>13052</v>
      </c>
      <c r="F46" s="37" t="s">
        <v>12754</v>
      </c>
      <c r="G46" s="34"/>
    </row>
    <row r="47" spans="1:7" ht="67.5">
      <c r="A47" s="371"/>
      <c r="B47" s="193">
        <v>5.0999999999999996</v>
      </c>
      <c r="C47" s="181" t="s">
        <v>2405</v>
      </c>
      <c r="D47" s="194">
        <v>43070</v>
      </c>
      <c r="E47" s="202" t="s">
        <v>13247</v>
      </c>
      <c r="F47" s="37" t="s">
        <v>13248</v>
      </c>
      <c r="G47" s="34"/>
    </row>
    <row r="48" spans="1:7" ht="56.25">
      <c r="A48" s="371"/>
      <c r="B48" s="193">
        <v>5.1100000000000003</v>
      </c>
      <c r="C48" s="181" t="s">
        <v>13489</v>
      </c>
      <c r="D48" s="194">
        <v>43217</v>
      </c>
      <c r="E48" s="202" t="s">
        <v>13617</v>
      </c>
      <c r="F48" s="37" t="s">
        <v>13523</v>
      </c>
      <c r="G48" s="34"/>
    </row>
    <row r="49" spans="1:7" ht="56.25">
      <c r="A49" s="371"/>
      <c r="B49" s="193">
        <v>5.12</v>
      </c>
      <c r="C49" s="181" t="s">
        <v>13489</v>
      </c>
      <c r="D49" s="194">
        <v>43581</v>
      </c>
      <c r="E49" s="202" t="s">
        <v>13617</v>
      </c>
      <c r="F49" s="37" t="s">
        <v>14191</v>
      </c>
      <c r="G49" s="34"/>
    </row>
    <row r="50" spans="1:7" ht="78.75">
      <c r="A50" s="371"/>
      <c r="B50" s="243">
        <v>6</v>
      </c>
      <c r="C50" s="181" t="s">
        <v>13489</v>
      </c>
      <c r="D50" s="194">
        <v>43964</v>
      </c>
      <c r="E50" s="202" t="s">
        <v>14433</v>
      </c>
      <c r="F50" s="37" t="s">
        <v>14204</v>
      </c>
      <c r="G50" s="34"/>
    </row>
    <row r="51" spans="1:7" ht="45">
      <c r="A51" s="371"/>
      <c r="B51" s="193">
        <v>6.01</v>
      </c>
      <c r="C51" s="181" t="s">
        <v>13489</v>
      </c>
      <c r="D51" s="194">
        <v>43970</v>
      </c>
      <c r="E51" s="202" t="s">
        <v>15503</v>
      </c>
      <c r="F51" s="202" t="s">
        <v>14204</v>
      </c>
      <c r="G51" s="34"/>
    </row>
    <row r="52" spans="1:7" ht="13.5" thickBot="1">
      <c r="A52" s="372"/>
      <c r="B52" s="373" t="str">
        <f ca="1">OFFSET(L!$C$1,MATCH("General"&amp;"Cpy",L!$A:$A,0)-1,SL,,)</f>
        <v>© 2020 Responsible Minerals Initiative. All rights reserved.</v>
      </c>
      <c r="C52" s="373"/>
      <c r="D52" s="373"/>
      <c r="E52" s="373"/>
      <c r="F52" s="373"/>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5"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5"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5"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3" zoomScalePageLayoutView="60" workbookViewId="0">
      <selection activeCell="A45" sqref="A45"/>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5">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5"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activeCell="C47" sqref="C47"/>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0"/>
      <c r="B1" s="381"/>
      <c r="C1" s="381"/>
      <c r="D1" s="382"/>
    </row>
    <row r="2" spans="1:5" ht="71.25" customHeight="1">
      <c r="A2" s="87"/>
      <c r="B2" s="167" t="str">
        <f ca="1">OFFSET(L!$C$1,MATCH("Definitions"&amp;ADDRESS(ROW(),COLUMN(),4),L!$A:$A,0)-1,SL,,)</f>
        <v>ITEM</v>
      </c>
      <c r="C2" s="167" t="str">
        <f ca="1">OFFSET(L!$C$1,MATCH("Definitions"&amp;ADDRESS(ROW(),COLUMN(),4),L!$A:$A,0)-1,SL,,)</f>
        <v>DEFINITION</v>
      </c>
      <c r="D2" s="384"/>
      <c r="E2" s="127"/>
    </row>
    <row r="3" spans="1:5" ht="63.95" customHeight="1">
      <c r="A3" s="87"/>
      <c r="B3" s="74" t="str">
        <f ca="1">OFFSET(L!$C$1,MATCH("Definitions"&amp;ADDRESS(ROW(),COLUMN(),4),L!$A:$A,0)-1,SL,,)</f>
        <v>3TG</v>
      </c>
      <c r="C3" s="74" t="str">
        <f ca="1">OFFSET(L!$C$1,MATCH("Definitions"&amp;ADDRESS(ROW(),COLUMN(),4),L!$A:$A,0)-1,SL,,)</f>
        <v>Tantalum, tin, tungsten, gold</v>
      </c>
      <c r="D3" s="384"/>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4"/>
      <c r="E9" s="128" t="s">
        <v>1336</v>
      </c>
    </row>
    <row r="10" spans="1:5" ht="45">
      <c r="A10" s="87"/>
      <c r="B10" s="74" t="str">
        <f ca="1">OFFSET(L!$C$1,MATCH("Definitions"&amp;ADDRESS(ROW(),COLUMN(),4),L!$A:$A,0)-1,SL,,)</f>
        <v>DRC</v>
      </c>
      <c r="C10" s="74" t="str">
        <f ca="1">OFFSET(L!$C$1,MATCH("Definitions"&amp;ADDRESS(ROW(),COLUMN(),4),L!$A:$A,0)-1,SL,,)</f>
        <v>Democratic Republic of Congo</v>
      </c>
      <c r="D10" s="384"/>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4"/>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4"/>
      <c r="E20" s="128"/>
    </row>
    <row r="21" spans="1:5" ht="15">
      <c r="A21" s="87"/>
      <c r="B21" s="74" t="str">
        <f ca="1">OFFSET(L!$C$1,MATCH("Definitions"&amp;ADDRESS(ROW(),COLUMN(),4),L!$A:$A,0)-1,SL,,)</f>
        <v>RBA</v>
      </c>
      <c r="C21" s="74" t="str">
        <f ca="1">OFFSET(L!$C$1,MATCH("Definitions"&amp;ADDRESS(ROW(),COLUMN(),4),L!$A:$A,0)-1,SL,,)</f>
        <v>Responsible Business Alliance (www.responsiblebusiness.org)</v>
      </c>
      <c r="D21" s="384"/>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4"/>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8"/>
    </row>
    <row r="32" spans="1:5" ht="15">
      <c r="A32" s="87"/>
      <c r="B32" s="383" t="str">
        <f ca="1">OFFSET(L!$C$1,MATCH("General"&amp;"Cpy",L!$A:$A,0)-1,SL,,)</f>
        <v>© 2020 Responsible Minerals Initiative. All rights reserved.</v>
      </c>
      <c r="C32" s="383"/>
      <c r="D32" s="384"/>
      <c r="E32" s="128"/>
    </row>
    <row r="33" spans="1:4" ht="13.5" thickBot="1">
      <c r="A33" s="88"/>
      <c r="B33" s="185"/>
      <c r="C33" s="185"/>
      <c r="D33" s="385"/>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5"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 zoomScale="75" zoomScaleNormal="75"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7"/>
      <c r="G3" s="427"/>
      <c r="H3" s="427"/>
      <c r="I3" s="184"/>
      <c r="J3" s="168" t="s">
        <v>15505</v>
      </c>
      <c r="K3" s="47"/>
      <c r="L3" s="139"/>
      <c r="M3" s="130"/>
      <c r="N3" s="130"/>
      <c r="O3" s="131"/>
      <c r="P3" s="144">
        <f>MATCH($D$3,LN,0)</f>
        <v>1</v>
      </c>
    </row>
    <row r="4" spans="1:34" ht="15.7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0" t="s">
        <v>15506</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9" t="s">
        <v>504</v>
      </c>
      <c r="E9" s="430"/>
      <c r="F9" s="430"/>
      <c r="G9" s="431"/>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3" t="str">
        <f ca="1">OFFSET(L!$C$1,MATCH("Declaration"&amp;ADDRESS(ROW(),COLUMN(),4)&amp;LEFT($D$9,1),L!$A:$A,0)-1,SL,,)</f>
        <v>Description of Scope:</v>
      </c>
      <c r="C10" s="151"/>
      <c r="D10" s="424"/>
      <c r="E10" s="425"/>
      <c r="F10" s="425"/>
      <c r="G10" s="425"/>
      <c r="H10" s="425"/>
      <c r="I10" s="425"/>
      <c r="J10" s="42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4"/>
      <c r="C11" s="151"/>
      <c r="D11" s="401" t="str">
        <f ca="1">IF(D9=Q9,OFFSET(L!$C$1,MATCH("Declaration"&amp;ADDRESS(ROW(),COLUMN(),4),L!$A:$A,0)-1,SL,,),"")</f>
        <v/>
      </c>
      <c r="E11" s="402"/>
      <c r="F11" s="402"/>
      <c r="G11" s="402"/>
      <c r="H11" s="402"/>
      <c r="I11" s="402"/>
      <c r="J11" s="40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0"/>
      <c r="E12" s="411"/>
      <c r="F12" s="411"/>
      <c r="G12" s="411"/>
      <c r="H12" s="411"/>
      <c r="I12" s="411"/>
      <c r="J12" s="41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0"/>
      <c r="E13" s="411"/>
      <c r="F13" s="411"/>
      <c r="G13" s="411"/>
      <c r="H13" s="411"/>
      <c r="I13" s="411"/>
      <c r="J13" s="41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0"/>
      <c r="E14" s="411"/>
      <c r="F14" s="411"/>
      <c r="G14" s="411"/>
      <c r="H14" s="411"/>
      <c r="I14" s="411"/>
      <c r="J14" s="41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0" t="s">
        <v>15507</v>
      </c>
      <c r="E15" s="411"/>
      <c r="F15" s="411"/>
      <c r="G15" s="411"/>
      <c r="H15" s="411"/>
      <c r="I15" s="411"/>
      <c r="J15" s="41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5" t="s">
        <v>15508</v>
      </c>
      <c r="E16" s="436"/>
      <c r="F16" s="436"/>
      <c r="G16" s="436"/>
      <c r="H16" s="436"/>
      <c r="I16" s="436"/>
      <c r="J16" s="43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0" t="s">
        <v>15510</v>
      </c>
      <c r="E17" s="411"/>
      <c r="F17" s="411"/>
      <c r="G17" s="411"/>
      <c r="H17" s="411"/>
      <c r="I17" s="411"/>
      <c r="J17" s="41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0" t="s">
        <v>15509</v>
      </c>
      <c r="E18" s="411"/>
      <c r="F18" s="411"/>
      <c r="G18" s="411"/>
      <c r="H18" s="411"/>
      <c r="I18" s="411"/>
      <c r="J18" s="41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0" t="s">
        <v>15529</v>
      </c>
      <c r="E19" s="411"/>
      <c r="F19" s="411"/>
      <c r="G19" s="411"/>
      <c r="H19" s="411"/>
      <c r="I19" s="411"/>
      <c r="J19" s="41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5" t="s">
        <v>15508</v>
      </c>
      <c r="E20" s="436"/>
      <c r="F20" s="436"/>
      <c r="G20" s="436"/>
      <c r="H20" s="436"/>
      <c r="I20" s="436"/>
      <c r="J20" s="43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10" t="s">
        <v>15510</v>
      </c>
      <c r="E21" s="411"/>
      <c r="F21" s="411"/>
      <c r="G21" s="411"/>
      <c r="H21" s="411"/>
      <c r="I21" s="411"/>
      <c r="J21" s="41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8">
        <v>44050</v>
      </c>
      <c r="E22" s="43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3"/>
      <c r="E23" s="41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0" t="str">
        <f ca="1">OFFSET(L!$C$1,MATCH("Declaration"&amp;ADDRESS(ROW(),COLUMN(),4),L!$A:$A,0)-1,SL,,)</f>
        <v>Answer the following questions 1 - 8 based on the declaration scope indicated above</v>
      </c>
      <c r="C24" s="440"/>
      <c r="D24" s="440"/>
      <c r="E24" s="440"/>
      <c r="F24" s="440"/>
      <c r="G24" s="440"/>
      <c r="H24" s="440"/>
      <c r="I24" s="440"/>
      <c r="J24" s="44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6" t="s">
        <v>499</v>
      </c>
      <c r="E26" s="387"/>
      <c r="F26" s="15"/>
      <c r="G26" s="388"/>
      <c r="H26" s="389"/>
      <c r="I26" s="389"/>
      <c r="J26" s="390"/>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6" t="s">
        <v>498</v>
      </c>
      <c r="E27" s="387"/>
      <c r="F27" s="15"/>
      <c r="G27" s="388"/>
      <c r="H27" s="389"/>
      <c r="I27" s="389"/>
      <c r="J27" s="390"/>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6" t="s">
        <v>498</v>
      </c>
      <c r="E28" s="387"/>
      <c r="F28" s="15"/>
      <c r="G28" s="388"/>
      <c r="H28" s="389"/>
      <c r="I28" s="389"/>
      <c r="J28" s="390"/>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6" t="s">
        <v>499</v>
      </c>
      <c r="E29" s="387"/>
      <c r="F29" s="15"/>
      <c r="G29" s="388"/>
      <c r="H29" s="389"/>
      <c r="I29" s="389"/>
      <c r="J29" s="390"/>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6" t="str">
        <f ca="1">D25</f>
        <v>Answer</v>
      </c>
      <c r="E31" s="406"/>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4"/>
      <c r="E32" s="405"/>
      <c r="F32" s="58"/>
      <c r="G32" s="388"/>
      <c r="H32" s="389"/>
      <c r="I32" s="389"/>
      <c r="J32" s="390"/>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6" t="s">
        <v>498</v>
      </c>
      <c r="E33" s="387"/>
      <c r="F33" s="58"/>
      <c r="G33" s="388"/>
      <c r="H33" s="389"/>
      <c r="I33" s="389"/>
      <c r="J33" s="390"/>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6" t="s">
        <v>498</v>
      </c>
      <c r="E34" s="387"/>
      <c r="F34" s="58"/>
      <c r="G34" s="388"/>
      <c r="H34" s="389"/>
      <c r="I34" s="389"/>
      <c r="J34" s="390"/>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6"/>
      <c r="E35" s="387"/>
      <c r="F35" s="58"/>
      <c r="G35" s="388"/>
      <c r="H35" s="389"/>
      <c r="I35" s="389"/>
      <c r="J35" s="390"/>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6" t="str">
        <f ca="1">D25</f>
        <v>Answer</v>
      </c>
      <c r="E37" s="406"/>
      <c r="F37" s="21"/>
      <c r="G37" s="55" t="str">
        <f ca="1">G25</f>
        <v>Comments</v>
      </c>
      <c r="H37" s="409"/>
      <c r="I37" s="409"/>
      <c r="J37" s="409"/>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6"/>
      <c r="E38" s="387"/>
      <c r="F38" s="58"/>
      <c r="G38" s="388"/>
      <c r="H38" s="389"/>
      <c r="I38" s="389"/>
      <c r="J38" s="390"/>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6" t="s">
        <v>498</v>
      </c>
      <c r="E39" s="387"/>
      <c r="F39" s="58"/>
      <c r="G39" s="388" t="s">
        <v>15511</v>
      </c>
      <c r="H39" s="389"/>
      <c r="I39" s="389"/>
      <c r="J39" s="390"/>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6" t="s">
        <v>499</v>
      </c>
      <c r="E40" s="387"/>
      <c r="F40" s="58"/>
      <c r="G40" s="388"/>
      <c r="H40" s="389"/>
      <c r="I40" s="389"/>
      <c r="J40" s="390"/>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6"/>
      <c r="E41" s="387"/>
      <c r="F41" s="58"/>
      <c r="G41" s="388"/>
      <c r="H41" s="389"/>
      <c r="I41" s="389"/>
      <c r="J41" s="390"/>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6" t="str">
        <f ca="1">D25</f>
        <v>Answer</v>
      </c>
      <c r="E43" s="406"/>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6"/>
      <c r="E44" s="387"/>
      <c r="F44" s="58"/>
      <c r="G44" s="388"/>
      <c r="H44" s="389"/>
      <c r="I44" s="389"/>
      <c r="J44" s="390"/>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6" t="s">
        <v>499</v>
      </c>
      <c r="E45" s="387"/>
      <c r="F45" s="58"/>
      <c r="G45" s="388"/>
      <c r="H45" s="389"/>
      <c r="I45" s="389"/>
      <c r="J45" s="390"/>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6" t="s">
        <v>499</v>
      </c>
      <c r="E46" s="387"/>
      <c r="F46" s="58"/>
      <c r="G46" s="388"/>
      <c r="H46" s="389"/>
      <c r="I46" s="389"/>
      <c r="J46" s="390"/>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6"/>
      <c r="E47" s="387"/>
      <c r="F47" s="58"/>
      <c r="G47" s="388"/>
      <c r="H47" s="389"/>
      <c r="I47" s="389"/>
      <c r="J47" s="390"/>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6" t="str">
        <f ca="1">D25</f>
        <v>Answer</v>
      </c>
      <c r="E49" s="40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6"/>
      <c r="E50" s="387"/>
      <c r="F50" s="58"/>
      <c r="G50" s="388"/>
      <c r="H50" s="389"/>
      <c r="I50" s="389"/>
      <c r="J50" s="390"/>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6" t="s">
        <v>499</v>
      </c>
      <c r="E51" s="387"/>
      <c r="F51" s="58"/>
      <c r="G51" s="388"/>
      <c r="H51" s="389"/>
      <c r="I51" s="389"/>
      <c r="J51" s="390"/>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6" t="s">
        <v>499</v>
      </c>
      <c r="E52" s="387"/>
      <c r="F52" s="58"/>
      <c r="G52" s="388"/>
      <c r="H52" s="389"/>
      <c r="I52" s="389"/>
      <c r="J52" s="390"/>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6"/>
      <c r="E53" s="387"/>
      <c r="F53" s="58"/>
      <c r="G53" s="388"/>
      <c r="H53" s="389"/>
      <c r="I53" s="389"/>
      <c r="J53" s="390"/>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6" t="str">
        <f ca="1">D25</f>
        <v>Answer</v>
      </c>
      <c r="E55" s="40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7"/>
      <c r="E56" s="408"/>
      <c r="F56" s="58"/>
      <c r="G56" s="388"/>
      <c r="H56" s="389"/>
      <c r="I56" s="389"/>
      <c r="J56" s="390"/>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7">
        <v>1</v>
      </c>
      <c r="E57" s="408"/>
      <c r="F57" s="58"/>
      <c r="G57" s="388"/>
      <c r="H57" s="389"/>
      <c r="I57" s="389"/>
      <c r="J57" s="390"/>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7">
        <v>1</v>
      </c>
      <c r="E58" s="408"/>
      <c r="F58" s="58"/>
      <c r="G58" s="388"/>
      <c r="H58" s="389"/>
      <c r="I58" s="389"/>
      <c r="J58" s="390"/>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7"/>
      <c r="E59" s="408"/>
      <c r="F59" s="58"/>
      <c r="G59" s="388"/>
      <c r="H59" s="389"/>
      <c r="I59" s="389"/>
      <c r="J59" s="390"/>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6" t="str">
        <f ca="1">D25</f>
        <v>Answer</v>
      </c>
      <c r="E61" s="406"/>
      <c r="F61" s="21"/>
      <c r="G61" s="55" t="str">
        <f ca="1">G25</f>
        <v>Comments</v>
      </c>
      <c r="H61" s="399"/>
      <c r="I61" s="399"/>
      <c r="J61" s="399"/>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4"/>
      <c r="E62" s="405"/>
      <c r="F62" s="58"/>
      <c r="G62" s="388"/>
      <c r="H62" s="389"/>
      <c r="I62" s="389"/>
      <c r="J62" s="390"/>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6" t="s">
        <v>498</v>
      </c>
      <c r="E63" s="387"/>
      <c r="F63" s="58"/>
      <c r="G63" s="388"/>
      <c r="H63" s="389"/>
      <c r="I63" s="389"/>
      <c r="J63" s="390"/>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6" t="s">
        <v>498</v>
      </c>
      <c r="E64" s="387"/>
      <c r="F64" s="58"/>
      <c r="G64" s="388"/>
      <c r="H64" s="389"/>
      <c r="I64" s="389"/>
      <c r="J64" s="390"/>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6"/>
      <c r="E65" s="387"/>
      <c r="F65" s="58"/>
      <c r="G65" s="388"/>
      <c r="H65" s="389"/>
      <c r="I65" s="389"/>
      <c r="J65" s="390"/>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6" t="str">
        <f ca="1">D25</f>
        <v>Answer</v>
      </c>
      <c r="E67" s="406"/>
      <c r="F67" s="21"/>
      <c r="G67" s="55" t="str">
        <f ca="1">G25</f>
        <v>Comments</v>
      </c>
      <c r="H67" s="399" t="str">
        <f>IF(Q75="(*)","Click here to enter smelter names","")</f>
        <v/>
      </c>
      <c r="I67" s="399"/>
      <c r="J67" s="399"/>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6"/>
      <c r="E68" s="387"/>
      <c r="F68" s="59"/>
      <c r="G68" s="388"/>
      <c r="H68" s="389"/>
      <c r="I68" s="389"/>
      <c r="J68" s="390"/>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6" t="s">
        <v>498</v>
      </c>
      <c r="E69" s="387"/>
      <c r="F69" s="59"/>
      <c r="G69" s="388"/>
      <c r="H69" s="389"/>
      <c r="I69" s="389"/>
      <c r="J69" s="390"/>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6" t="s">
        <v>498</v>
      </c>
      <c r="E70" s="387"/>
      <c r="F70" s="59"/>
      <c r="G70" s="388"/>
      <c r="H70" s="389"/>
      <c r="I70" s="389"/>
      <c r="J70" s="390"/>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6"/>
      <c r="E71" s="387"/>
      <c r="F71" s="61"/>
      <c r="G71" s="388"/>
      <c r="H71" s="389"/>
      <c r="I71" s="389"/>
      <c r="J71" s="390"/>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1" t="str">
        <f ca="1">OFFSET(L!$C$1,MATCH("Declaration"&amp;ADDRESS(ROW(),COLUMN(),4),L!$A:$A,0)-1,SL,,)</f>
        <v>Answer the Following Questions at a Company Level</v>
      </c>
      <c r="C73" s="391"/>
      <c r="D73" s="391"/>
      <c r="E73" s="391"/>
      <c r="F73" s="391"/>
      <c r="G73" s="391"/>
      <c r="H73" s="391"/>
      <c r="I73" s="391"/>
      <c r="J73" s="39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0" t="str">
        <f ca="1">D25</f>
        <v>Answer</v>
      </c>
      <c r="E74" s="400"/>
      <c r="F74" s="64"/>
      <c r="G74" s="400" t="str">
        <f ca="1">G25</f>
        <v>Comments</v>
      </c>
      <c r="H74" s="400" t="e">
        <f>HLOOKUP(SL,LT,$O74,0)</f>
        <v>#NAME?</v>
      </c>
      <c r="I74" s="40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6" t="s">
        <v>498</v>
      </c>
      <c r="E75" s="387"/>
      <c r="F75" s="68"/>
      <c r="G75" s="388" t="s">
        <v>15530</v>
      </c>
      <c r="H75" s="389"/>
      <c r="I75" s="389"/>
      <c r="J75" s="390"/>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7"/>
      <c r="H76" s="397"/>
      <c r="I76" s="397"/>
      <c r="J76" s="39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6" t="s">
        <v>498</v>
      </c>
      <c r="E77" s="387"/>
      <c r="F77" s="68"/>
      <c r="G77" s="388" t="s">
        <v>15530</v>
      </c>
      <c r="H77" s="389"/>
      <c r="I77" s="389"/>
      <c r="J77" s="39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6" t="s">
        <v>498</v>
      </c>
      <c r="E79" s="387"/>
      <c r="F79" s="68"/>
      <c r="G79" s="388"/>
      <c r="H79" s="389"/>
      <c r="I79" s="389"/>
      <c r="J79" s="390"/>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6" t="s">
        <v>498</v>
      </c>
      <c r="E81" s="387"/>
      <c r="F81" s="68"/>
      <c r="G81" s="388"/>
      <c r="H81" s="389"/>
      <c r="I81" s="389"/>
      <c r="J81" s="390"/>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6" t="s">
        <v>15442</v>
      </c>
      <c r="E83" s="387"/>
      <c r="F83" s="68"/>
      <c r="G83" s="388"/>
      <c r="H83" s="389"/>
      <c r="I83" s="389"/>
      <c r="J83" s="390"/>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5" t="s">
        <v>498</v>
      </c>
      <c r="E85" s="396"/>
      <c r="F85" s="68"/>
      <c r="G85" s="388"/>
      <c r="H85" s="389"/>
      <c r="I85" s="389"/>
      <c r="J85" s="390"/>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7"/>
      <c r="H86" s="397"/>
      <c r="I86" s="397"/>
      <c r="J86" s="39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6" t="s">
        <v>498</v>
      </c>
      <c r="E87" s="387"/>
      <c r="F87" s="68"/>
      <c r="G87" s="388"/>
      <c r="H87" s="389"/>
      <c r="I87" s="389"/>
      <c r="J87" s="390"/>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8"/>
      <c r="H88" s="398"/>
      <c r="I88" s="398"/>
      <c r="J88" s="398"/>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6" t="s">
        <v>499</v>
      </c>
      <c r="E89" s="387"/>
      <c r="F89" s="68"/>
      <c r="G89" s="388"/>
      <c r="H89" s="389"/>
      <c r="I89" s="389"/>
      <c r="J89" s="390"/>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4" t="str">
        <f>IF(OR($D$8="",$I$3=""),"","Click here to check required fields completion")</f>
        <v/>
      </c>
      <c r="C90" s="394"/>
      <c r="D90" s="394"/>
      <c r="E90" s="394"/>
      <c r="F90" s="394"/>
      <c r="G90" s="394"/>
      <c r="H90" s="394"/>
      <c r="I90" s="394"/>
      <c r="J90" s="39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2" t="str">
        <f ca="1">OFFSET(L!$C$1,MATCH("General"&amp;"Cpy",L!$A:$A,0)-1,SL,,)</f>
        <v>© 2020 Responsible Minerals Initiative. All rights reserved.</v>
      </c>
      <c r="B91" s="393"/>
      <c r="C91" s="393"/>
      <c r="D91" s="393"/>
      <c r="E91" s="393"/>
      <c r="F91" s="393"/>
      <c r="G91" s="393"/>
      <c r="H91" s="393"/>
      <c r="I91" s="393"/>
      <c r="J91" s="39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5" type="noConversion"/>
  <conditionalFormatting sqref="D75:E75 D77:E77 D79:E79 D81:E81 D85:E85 D87:E87 D89:E89 D83">
    <cfRule type="expression" dxfId="102" priority="64" stopIfTrue="1">
      <formula>AND(OR($D$26="No",AND($D$26="Yes",$D$32="No")),OR($D$27="No",AND($D$27="Yes",$D$33="No")),OR($D$28="No",AND($D$28="Yes",$D$34="No")),OR($D$29="No",AND($D$29="Yes",$D$35="No")))</formula>
    </cfRule>
    <cfRule type="expression" dxfId="101" priority="65" stopIfTrue="1">
      <formula>IF(D75="",TRUE)</formula>
    </cfRule>
  </conditionalFormatting>
  <conditionalFormatting sqref="D26:E26">
    <cfRule type="expression" dxfId="100" priority="116" stopIfTrue="1">
      <formula>IF($D$26="",TRUE)</formula>
    </cfRule>
  </conditionalFormatting>
  <conditionalFormatting sqref="D27:E27">
    <cfRule type="expression" dxfId="99" priority="123" stopIfTrue="1">
      <formula>IF($D$27="",TRUE)</formula>
    </cfRule>
  </conditionalFormatting>
  <conditionalFormatting sqref="D28:E28">
    <cfRule type="expression" dxfId="98" priority="124" stopIfTrue="1">
      <formula>IF($D$28="",TRUE)</formula>
    </cfRule>
  </conditionalFormatting>
  <conditionalFormatting sqref="D29:E29">
    <cfRule type="expression" dxfId="97" priority="125" stopIfTrue="1">
      <formula>IF($D$29="",TRUE)</formula>
    </cfRule>
  </conditionalFormatting>
  <conditionalFormatting sqref="D8:J8">
    <cfRule type="expression" dxfId="96" priority="130" stopIfTrue="1">
      <formula>IF($D$8="",TRUE)</formula>
    </cfRule>
  </conditionalFormatting>
  <conditionalFormatting sqref="D9:G9">
    <cfRule type="expression" dxfId="95" priority="131" stopIfTrue="1">
      <formula>IF($D$9="",TRUE)</formula>
    </cfRule>
  </conditionalFormatting>
  <conditionalFormatting sqref="D15:J15">
    <cfRule type="expression" dxfId="94" priority="132" stopIfTrue="1">
      <formula>IF($D$15="",TRUE)</formula>
    </cfRule>
  </conditionalFormatting>
  <conditionalFormatting sqref="D16:J16">
    <cfRule type="expression" dxfId="93" priority="133" stopIfTrue="1">
      <formula>IF($D$16="",TRUE)</formula>
    </cfRule>
  </conditionalFormatting>
  <conditionalFormatting sqref="D17:J17">
    <cfRule type="expression" dxfId="92" priority="134" stopIfTrue="1">
      <formula>IF($D$17="",TRUE)</formula>
    </cfRule>
  </conditionalFormatting>
  <conditionalFormatting sqref="D18:J18">
    <cfRule type="expression" dxfId="91" priority="135" stopIfTrue="1">
      <formula>IF($D$18="",TRUE)</formula>
    </cfRule>
  </conditionalFormatting>
  <conditionalFormatting sqref="D22:E22">
    <cfRule type="expression" dxfId="90" priority="138" stopIfTrue="1">
      <formula>IF($D$22="",TRUE)</formula>
    </cfRule>
  </conditionalFormatting>
  <conditionalFormatting sqref="D10:J10">
    <cfRule type="expression" dxfId="89" priority="35" stopIfTrue="1">
      <formula>IF($D$9=$Q$9,TRUE)</formula>
    </cfRule>
    <cfRule type="expression" dxfId="88" priority="145" stopIfTrue="1">
      <formula>IF(AND($D$10="",$D$9=$R$9),TRUE)</formula>
    </cfRule>
  </conditionalFormatting>
  <conditionalFormatting sqref="D34:E34 D40:E40 D52:E52 D58:E58 D64:E64 D70:E70">
    <cfRule type="expression" dxfId="87" priority="28" stopIfTrue="1">
      <formula>$P$28=""</formula>
    </cfRule>
  </conditionalFormatting>
  <conditionalFormatting sqref="D35:E35 D41:E41 D53:E53 D59:E59 D65:E65 D71:E71">
    <cfRule type="expression" dxfId="86" priority="143" stopIfTrue="1">
      <formula>$P$29=""</formula>
    </cfRule>
  </conditionalFormatting>
  <conditionalFormatting sqref="D32:E32">
    <cfRule type="expression" dxfId="85" priority="121" stopIfTrue="1">
      <formula>$P$26=""</formula>
    </cfRule>
  </conditionalFormatting>
  <conditionalFormatting sqref="D32:E32">
    <cfRule type="expression" dxfId="84" priority="34" stopIfTrue="1">
      <formula>IF(AND(OR($D$26="Yes",$D$26=""),$D$32=""),1,0)</formula>
    </cfRule>
  </conditionalFormatting>
  <conditionalFormatting sqref="D38 D50 D56 D62 D68">
    <cfRule type="expression" dxfId="83" priority="30" stopIfTrue="1">
      <formula>$P$32=""</formula>
    </cfRule>
  </conditionalFormatting>
  <conditionalFormatting sqref="D39:E39 D51 D57 D63 D69">
    <cfRule type="expression" dxfId="82" priority="29" stopIfTrue="1">
      <formula>$P$33=""</formula>
    </cfRule>
  </conditionalFormatting>
  <conditionalFormatting sqref="D40 D52 D58 D64 D70">
    <cfRule type="expression" dxfId="81" priority="19" stopIfTrue="1">
      <formula>$P$34=""</formula>
    </cfRule>
    <cfRule type="expression" dxfId="80" priority="141" stopIfTrue="1">
      <formula>IF(AND(OR($D$28="Yes",$D$28=""),D40=""),1,0)</formula>
    </cfRule>
  </conditionalFormatting>
  <conditionalFormatting sqref="D41 D53 D59 D65 D71">
    <cfRule type="expression" dxfId="79" priority="27" stopIfTrue="1">
      <formula>$P$35=""</formula>
    </cfRule>
  </conditionalFormatting>
  <conditionalFormatting sqref="D38:E38 D50:E50 D56:E56 D62:E62 D68:E68">
    <cfRule type="expression" dxfId="78" priority="32" stopIfTrue="1">
      <formula>$P$26=""</formula>
    </cfRule>
    <cfRule type="expression" dxfId="77" priority="33" stopIfTrue="1">
      <formula>IF(AND(OR($D$26="Yes",$D$26=""),D38=""),1,0)</formula>
    </cfRule>
  </conditionalFormatting>
  <conditionalFormatting sqref="G85:J85">
    <cfRule type="expression" dxfId="76" priority="26" stopIfTrue="1">
      <formula>IF(AND($D$85="Yes, using other format (describe)",$G$85=""),TRUE)</formula>
    </cfRule>
  </conditionalFormatting>
  <conditionalFormatting sqref="D39:E39 D51:E51 D57:E57 D63:E63 D69:E69">
    <cfRule type="expression" dxfId="75" priority="139" stopIfTrue="1">
      <formula>$P$39=""</formula>
    </cfRule>
    <cfRule type="expression" dxfId="74" priority="140" stopIfTrue="1">
      <formula>IF(AND(OR($D$27="Yes",$D$27=""),D39=""),1,0)</formula>
    </cfRule>
  </conditionalFormatting>
  <conditionalFormatting sqref="D33:E33">
    <cfRule type="expression" dxfId="73" priority="21" stopIfTrue="1">
      <formula>IF(AND(OR($D$27="Yes",$D$27=""),$D$33=""),1,0)</formula>
    </cfRule>
    <cfRule type="expression" dxfId="72" priority="22" stopIfTrue="1">
      <formula>$P$27=""</formula>
    </cfRule>
  </conditionalFormatting>
  <conditionalFormatting sqref="D34:E34">
    <cfRule type="expression" dxfId="71" priority="142" stopIfTrue="1">
      <formula>IF(AND(OR($D$28="Yes",$D$28=""),$D$34=""),1,0)</formula>
    </cfRule>
  </conditionalFormatting>
  <conditionalFormatting sqref="D41:E41 D53:E53 D59:E59 D65:E65 D71:E71">
    <cfRule type="expression" dxfId="70" priority="144" stopIfTrue="1">
      <formula>IF(AND(OR($D$29="Yes",$D$29=""),D41=""),1,0)</formula>
    </cfRule>
  </conditionalFormatting>
  <conditionalFormatting sqref="D35:E35">
    <cfRule type="expression" dxfId="69" priority="18" stopIfTrue="1">
      <formula>IF(AND(OR($D$29="Yes",$D$29=""),$D$35=""),1,0)</formula>
    </cfRule>
  </conditionalFormatting>
  <conditionalFormatting sqref="D20:J20">
    <cfRule type="expression" dxfId="68" priority="14" stopIfTrue="1">
      <formula>IF($D$20="",TRUE)</formula>
    </cfRule>
  </conditionalFormatting>
  <conditionalFormatting sqref="D46:E46">
    <cfRule type="expression" dxfId="67" priority="4" stopIfTrue="1">
      <formula>$P$28=""</formula>
    </cfRule>
  </conditionalFormatting>
  <conditionalFormatting sqref="D47:E47">
    <cfRule type="expression" dxfId="66" priority="12" stopIfTrue="1">
      <formula>$P$29=""</formula>
    </cfRule>
  </conditionalFormatting>
  <conditionalFormatting sqref="D44">
    <cfRule type="expression" dxfId="65" priority="6" stopIfTrue="1">
      <formula>$P$32=""</formula>
    </cfRule>
  </conditionalFormatting>
  <conditionalFormatting sqref="D45">
    <cfRule type="expression" dxfId="64" priority="5" stopIfTrue="1">
      <formula>$P$33=""</formula>
    </cfRule>
  </conditionalFormatting>
  <conditionalFormatting sqref="D46">
    <cfRule type="expression" dxfId="63" priority="2" stopIfTrue="1">
      <formula>$P$34=""</formula>
    </cfRule>
    <cfRule type="expression" dxfId="62" priority="11" stopIfTrue="1">
      <formula>IF(AND(OR($D$28="Yes",$D$28=""),D46=""),1,0)</formula>
    </cfRule>
  </conditionalFormatting>
  <conditionalFormatting sqref="D47">
    <cfRule type="expression" dxfId="61" priority="3" stopIfTrue="1">
      <formula>$P$35=""</formula>
    </cfRule>
  </conditionalFormatting>
  <conditionalFormatting sqref="D44:E44">
    <cfRule type="expression" dxfId="60" priority="7" stopIfTrue="1">
      <formula>$P$26=""</formula>
    </cfRule>
    <cfRule type="expression" dxfId="59" priority="8" stopIfTrue="1">
      <formula>IF(AND(OR($D$26="Yes",$D$26=""),D44=""),1,0)</formula>
    </cfRule>
  </conditionalFormatting>
  <conditionalFormatting sqref="D45:E45">
    <cfRule type="expression" dxfId="58" priority="9" stopIfTrue="1">
      <formula>$P$39=""</formula>
    </cfRule>
    <cfRule type="expression" dxfId="57" priority="10" stopIfTrue="1">
      <formula>IF(AND(OR($D$27="Yes",$D$27=""),D45=""),1,0)</formula>
    </cfRule>
  </conditionalFormatting>
  <conditionalFormatting sqref="D47:E47">
    <cfRule type="expression" dxfId="56" priority="13" stopIfTrue="1">
      <formula>IF(AND(OR($D$29="Yes",$D$29=""),D47=""),1,0)</formula>
    </cfRule>
  </conditionalFormatting>
  <conditionalFormatting sqref="D21:J21">
    <cfRule type="expression" dxfId="1" priority="1" stopIfTrue="1">
      <formula>IF($D$17="",TRUE)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66" zoomScaleNormal="66" zoomScalePageLayoutView="55" workbookViewId="0">
      <pane ySplit="4" topLeftCell="A86" activePane="bottomLeft" state="frozen"/>
      <selection pane="bottomLeft" activeCell="E90" sqref="E9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1" t="str">
        <f ca="1">OFFSET(L!$C$1,MATCH("Smelter List"&amp;ADDRESS(ROW(),COLUMN(),4),L!$A:$A,0)-1,SL,,)</f>
        <v>Link to "RMAP Conformant Smelter List"</v>
      </c>
      <c r="K2" s="442"/>
      <c r="L2" s="442"/>
      <c r="M2" s="442"/>
      <c r="N2" s="442"/>
      <c r="O2" s="442"/>
      <c r="P2" s="234"/>
      <c r="Q2" s="235"/>
      <c r="R2" s="236"/>
      <c r="S2" s="236"/>
      <c r="T2" s="236"/>
      <c r="U2" s="267"/>
      <c r="V2" s="267"/>
      <c r="W2" s="268"/>
      <c r="X2" s="267"/>
      <c r="Y2" s="267"/>
      <c r="Z2" s="267"/>
      <c r="AH2" s="176" t="s">
        <v>498</v>
      </c>
    </row>
    <row r="3" spans="1:34" s="269" customFormat="1" ht="243.95" customHeight="1">
      <c r="A3" s="204"/>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70"/>
      <c r="G3" s="444" t="str">
        <f ca="1">OFFSET(L!$C$1,MATCH("General"&amp;"Cpy",L!$A:$A,0)-1,SL,,)</f>
        <v>© 2020 Responsible Minerals Initiative. All rights reserved.</v>
      </c>
      <c r="H3" s="444"/>
      <c r="I3" s="445"/>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47" t="s">
        <v>1408</v>
      </c>
      <c r="B5" s="348" t="s">
        <v>1153</v>
      </c>
      <c r="C5" s="352" t="s">
        <v>1407</v>
      </c>
      <c r="D5" s="348" t="s">
        <v>1407</v>
      </c>
      <c r="E5" s="348" t="s">
        <v>2576</v>
      </c>
      <c r="F5" s="348" t="s">
        <v>1408</v>
      </c>
      <c r="G5" s="348" t="s">
        <v>13577</v>
      </c>
      <c r="H5" s="349">
        <v>0</v>
      </c>
      <c r="I5" s="350" t="s">
        <v>1568</v>
      </c>
      <c r="J5" s="350" t="s">
        <v>1569</v>
      </c>
      <c r="K5" s="355"/>
      <c r="L5" s="355"/>
      <c r="M5" s="355"/>
      <c r="N5" s="355"/>
      <c r="O5" s="353"/>
      <c r="P5" s="351"/>
      <c r="Q5" s="354"/>
      <c r="R5" s="217" t="str">
        <f ca="1">IF(ISERROR($V5),"",OFFSET('Smelter Look-up'!$C$4,$V5-4,0)&amp;"")</f>
        <v>Advanced Chemical Company</v>
      </c>
      <c r="S5" s="225" t="str">
        <f t="shared" ref="S5" ca="1" si="0">IF(B5="","",IF(ISERROR(MATCH($E5,CL,0)),"Unknown",INDIRECT("'C'!$A$"&amp;MATCH($E5,CL,0)+1)))</f>
        <v>US</v>
      </c>
      <c r="T5" s="225" t="str">
        <f ca="1">IF(B5="","",IF(ISERROR(MATCH($J5,SorP!$B$1:$B$6230,0)),"",INDIRECT("'SorP'!$A$"&amp;MATCH($J5,SorP!$B$1:$B$6230,0))))</f>
        <v>US-RI</v>
      </c>
      <c r="U5" s="241"/>
      <c r="V5" s="275">
        <f>IF(C5="",NA(),MATCH($B5&amp;$C5,'Smelter Look-up'!$J:$J,0))</f>
        <v>7</v>
      </c>
      <c r="W5" s="276"/>
      <c r="X5" s="276">
        <f t="shared" ref="X5" si="1">IF(AND(C5="Smelter not listed",OR(LEN(D5)=0,LEN(E5)=0)),1,0)</f>
        <v>0</v>
      </c>
      <c r="Y5" s="276"/>
      <c r="Z5" s="276"/>
      <c r="AB5" s="278" t="str">
        <f t="shared" ref="AB5" si="2">B5&amp;C5</f>
        <v>GoldAdvanced Chemical Company</v>
      </c>
    </row>
    <row r="6" spans="1:34" s="277" customFormat="1" ht="20.100000000000001" customHeight="1">
      <c r="A6" s="347" t="s">
        <v>666</v>
      </c>
      <c r="B6" s="348" t="s">
        <v>1153</v>
      </c>
      <c r="C6" s="352" t="s">
        <v>2244</v>
      </c>
      <c r="D6" s="348" t="s">
        <v>2244</v>
      </c>
      <c r="E6" s="348" t="s">
        <v>1131</v>
      </c>
      <c r="F6" s="348" t="s">
        <v>666</v>
      </c>
      <c r="G6" s="348" t="s">
        <v>13577</v>
      </c>
      <c r="H6" s="349">
        <v>0</v>
      </c>
      <c r="I6" s="350" t="s">
        <v>1570</v>
      </c>
      <c r="J6" s="350" t="s">
        <v>1571</v>
      </c>
      <c r="K6" s="355"/>
      <c r="L6" s="355"/>
      <c r="M6" s="355"/>
      <c r="N6" s="355"/>
      <c r="O6" s="353"/>
      <c r="P6" s="351"/>
      <c r="Q6" s="354"/>
      <c r="R6" s="217" t="str">
        <f ca="1">IF(ISERROR($V6),"",OFFSET('Smelter Look-up'!$C$4,$V6-4,0)&amp;"")</f>
        <v>Aida Chemical Industries Co., Ltd.</v>
      </c>
      <c r="S6" s="225" t="str">
        <f t="shared" ref="S6:S37" ca="1" si="3">IF(B6="","",IF(ISERROR(MATCH($E6,CL,0)),"Unknown",INDIRECT("'C'!$A$"&amp;MATCH($E6,CL,0)+1)))</f>
        <v>JP</v>
      </c>
      <c r="T6" s="225" t="str">
        <f ca="1">IF(B6="","",IF(ISERROR(MATCH($J6,SorP!$B$1:$B$6230,0)),"",INDIRECT("'SorP'!$A$"&amp;MATCH($J6,SorP!$B$1:$B$6230,0))))</f>
        <v>JP-13</v>
      </c>
      <c r="U6" s="241"/>
      <c r="V6" s="275">
        <f>IF(C6="",NA(),MATCH($B6&amp;$C6,'Smelter Look-up'!$J:$J,0))</f>
        <v>11</v>
      </c>
      <c r="W6" s="276"/>
      <c r="X6" s="276">
        <f t="shared" ref="X6:X37" si="4">IF(AND(C6="Smelter not listed",OR(LEN(D6)=0,LEN(E6)=0)),1,0)</f>
        <v>0</v>
      </c>
      <c r="Y6" s="276"/>
      <c r="Z6" s="276"/>
      <c r="AB6" s="278" t="str">
        <f t="shared" ref="AB6:AB37" si="5">B6&amp;C6</f>
        <v>GoldAida Chemical Industries Co., Ltd.</v>
      </c>
    </row>
    <row r="7" spans="1:34" s="277" customFormat="1" ht="20.100000000000001" customHeight="1">
      <c r="A7" s="347" t="s">
        <v>667</v>
      </c>
      <c r="B7" s="348" t="s">
        <v>1153</v>
      </c>
      <c r="C7" s="352" t="s">
        <v>54</v>
      </c>
      <c r="D7" s="348" t="s">
        <v>54</v>
      </c>
      <c r="E7" s="348" t="s">
        <v>1124</v>
      </c>
      <c r="F7" s="348" t="s">
        <v>667</v>
      </c>
      <c r="G7" s="348" t="s">
        <v>13577</v>
      </c>
      <c r="H7" s="349">
        <v>0</v>
      </c>
      <c r="I7" s="350" t="s">
        <v>1572</v>
      </c>
      <c r="J7" s="350" t="s">
        <v>1573</v>
      </c>
      <c r="K7" s="355"/>
      <c r="L7" s="355"/>
      <c r="M7" s="355"/>
      <c r="N7" s="355"/>
      <c r="O7" s="353"/>
      <c r="P7" s="351"/>
      <c r="Q7" s="354"/>
      <c r="R7" s="217" t="str">
        <f ca="1">IF(ISERROR($V7),"",OFFSET('Smelter Look-up'!$C$4,$V7-4,0)&amp;"")</f>
        <v>Allgemeine Gold-und Silberscheideanstalt A.G.</v>
      </c>
      <c r="S7" s="225" t="str">
        <f t="shared" ca="1" si="3"/>
        <v>DE</v>
      </c>
      <c r="T7" s="225" t="str">
        <f ca="1">IF(B7="","",IF(ISERROR(MATCH($J7,SorP!$B$1:$B$6230,0)),"",INDIRECT("'SorP'!$A$"&amp;MATCH($J7,SorP!$B$1:$B$6230,0))))</f>
        <v>DE-BW</v>
      </c>
      <c r="U7" s="241"/>
      <c r="V7" s="275">
        <f>IF(C7="",NA(),MATCH($B7&amp;$C7,'Smelter Look-up'!$J:$J,0))</f>
        <v>14</v>
      </c>
      <c r="W7" s="276"/>
      <c r="X7" s="276">
        <f t="shared" si="4"/>
        <v>0</v>
      </c>
      <c r="Y7" s="276"/>
      <c r="Z7" s="276"/>
      <c r="AB7" s="278" t="str">
        <f t="shared" si="5"/>
        <v>GoldAllgemeine Gold-und Silberscheideanstalt A.G.</v>
      </c>
    </row>
    <row r="8" spans="1:34" s="277" customFormat="1" ht="20.100000000000001" customHeight="1">
      <c r="A8" s="347" t="s">
        <v>669</v>
      </c>
      <c r="B8" s="348" t="s">
        <v>1153</v>
      </c>
      <c r="C8" s="352" t="s">
        <v>1575</v>
      </c>
      <c r="D8" s="348" t="s">
        <v>1575</v>
      </c>
      <c r="E8" s="348" t="s">
        <v>1119</v>
      </c>
      <c r="F8" s="348" t="s">
        <v>669</v>
      </c>
      <c r="G8" s="348" t="s">
        <v>13577</v>
      </c>
      <c r="H8" s="349">
        <v>0</v>
      </c>
      <c r="I8" s="350" t="s">
        <v>1576</v>
      </c>
      <c r="J8" s="350" t="s">
        <v>1577</v>
      </c>
      <c r="K8" s="355"/>
      <c r="L8" s="355"/>
      <c r="M8" s="355"/>
      <c r="N8" s="355"/>
      <c r="O8" s="353"/>
      <c r="P8" s="351"/>
      <c r="Q8" s="354"/>
      <c r="R8" s="217" t="str">
        <f ca="1">IF(ISERROR($V8),"",OFFSET('Smelter Look-up'!$C$4,$V8-4,0)&amp;"")</f>
        <v>AngloGold Ashanti Corrego do Sitio Mineracao</v>
      </c>
      <c r="S8" s="225" t="str">
        <f t="shared" ca="1" si="3"/>
        <v>BR</v>
      </c>
      <c r="T8" s="225" t="str">
        <f ca="1">IF(B8="","",IF(ISERROR(MATCH($J8,SorP!$B$1:$B$6230,0)),"",INDIRECT("'SorP'!$A$"&amp;MATCH($J8,SorP!$B$1:$B$6230,0))))</f>
        <v>BR-MG</v>
      </c>
      <c r="U8" s="241"/>
      <c r="V8" s="275">
        <f>IF(C8="",NA(),MATCH($B8&amp;$C8,'Smelter Look-up'!$J:$J,0))</f>
        <v>19</v>
      </c>
      <c r="W8" s="276"/>
      <c r="X8" s="276">
        <f t="shared" si="4"/>
        <v>0</v>
      </c>
      <c r="Y8" s="276"/>
      <c r="Z8" s="276"/>
      <c r="AB8" s="278" t="str">
        <f t="shared" si="5"/>
        <v>GoldAngloGold Ashanti Córrego do Sítio Mineração</v>
      </c>
    </row>
    <row r="9" spans="1:34" s="277" customFormat="1" ht="20.100000000000001" customHeight="1">
      <c r="A9" s="347" t="s">
        <v>670</v>
      </c>
      <c r="B9" s="348" t="s">
        <v>1153</v>
      </c>
      <c r="C9" s="352" t="s">
        <v>2409</v>
      </c>
      <c r="D9" s="348" t="s">
        <v>2409</v>
      </c>
      <c r="E9" s="348" t="s">
        <v>1121</v>
      </c>
      <c r="F9" s="348" t="s">
        <v>670</v>
      </c>
      <c r="G9" s="348" t="s">
        <v>13577</v>
      </c>
      <c r="H9" s="349">
        <v>0</v>
      </c>
      <c r="I9" s="350" t="s">
        <v>1578</v>
      </c>
      <c r="J9" s="350" t="s">
        <v>1579</v>
      </c>
      <c r="K9" s="355"/>
      <c r="L9" s="355"/>
      <c r="M9" s="355"/>
      <c r="N9" s="355"/>
      <c r="O9" s="353"/>
      <c r="P9" s="351"/>
      <c r="Q9" s="354"/>
      <c r="R9" s="217" t="str">
        <f ca="1">IF(ISERROR($V9),"",OFFSET('Smelter Look-up'!$C$4,$V9-4,0)&amp;"")</f>
        <v>Argor-Heraeus S.A.</v>
      </c>
      <c r="S9" s="225" t="str">
        <f t="shared" ca="1" si="3"/>
        <v>CH</v>
      </c>
      <c r="T9" s="225" t="str">
        <f ca="1">IF(B9="","",IF(ISERROR(MATCH($J9,SorP!$B$1:$B$6230,0)),"",INDIRECT("'SorP'!$A$"&amp;MATCH($J9,SorP!$B$1:$B$6230,0))))</f>
        <v>CH-TI</v>
      </c>
      <c r="U9" s="241"/>
      <c r="V9" s="275">
        <f>IF(C9="",NA(),MATCH($B9&amp;$C9,'Smelter Look-up'!$J:$J,0))</f>
        <v>23</v>
      </c>
      <c r="W9" s="276"/>
      <c r="X9" s="276">
        <f t="shared" si="4"/>
        <v>0</v>
      </c>
      <c r="Y9" s="276"/>
      <c r="Z9" s="276"/>
      <c r="AB9" s="278" t="str">
        <f t="shared" si="5"/>
        <v>GoldArgor-Heraeus S.A.</v>
      </c>
    </row>
    <row r="10" spans="1:34" s="277" customFormat="1" ht="20.100000000000001" customHeight="1">
      <c r="A10" s="347" t="s">
        <v>671</v>
      </c>
      <c r="B10" s="348" t="s">
        <v>1153</v>
      </c>
      <c r="C10" s="352" t="s">
        <v>2410</v>
      </c>
      <c r="D10" s="348" t="s">
        <v>2410</v>
      </c>
      <c r="E10" s="348" t="s">
        <v>1131</v>
      </c>
      <c r="F10" s="348" t="s">
        <v>671</v>
      </c>
      <c r="G10" s="348" t="s">
        <v>13577</v>
      </c>
      <c r="H10" s="349">
        <v>0</v>
      </c>
      <c r="I10" s="350" t="s">
        <v>1580</v>
      </c>
      <c r="J10" s="350" t="s">
        <v>1581</v>
      </c>
      <c r="K10" s="355"/>
      <c r="L10" s="355"/>
      <c r="M10" s="355"/>
      <c r="N10" s="355"/>
      <c r="O10" s="353"/>
      <c r="P10" s="351"/>
      <c r="Q10" s="354"/>
      <c r="R10" s="217" t="str">
        <f ca="1">IF(ISERROR($V10),"",OFFSET('Smelter Look-up'!$C$4,$V10-4,0)&amp;"")</f>
        <v>Asahi Pretec Corp.</v>
      </c>
      <c r="S10" s="225" t="str">
        <f t="shared" ca="1" si="3"/>
        <v>JP</v>
      </c>
      <c r="T10" s="225" t="str">
        <f ca="1">IF(B10="","",IF(ISERROR(MATCH($J10,SorP!$B$1:$B$6230,0)),"",INDIRECT("'SorP'!$A$"&amp;MATCH($J10,SorP!$B$1:$B$6230,0))))</f>
        <v>JP-28</v>
      </c>
      <c r="U10" s="241"/>
      <c r="V10" s="275">
        <f>IF(C10="",NA(),MATCH($B10&amp;$C10,'Smelter Look-up'!$J:$J,0))</f>
        <v>24</v>
      </c>
      <c r="W10" s="276"/>
      <c r="X10" s="276">
        <f t="shared" si="4"/>
        <v>0</v>
      </c>
      <c r="Y10" s="276"/>
      <c r="Z10" s="276"/>
      <c r="AB10" s="278" t="str">
        <f t="shared" si="5"/>
        <v>GoldAsahi Pretec Corp.</v>
      </c>
    </row>
    <row r="11" spans="1:34" s="277" customFormat="1" ht="20.100000000000001" customHeight="1">
      <c r="A11" s="347" t="s">
        <v>672</v>
      </c>
      <c r="B11" s="348" t="s">
        <v>1153</v>
      </c>
      <c r="C11" s="352" t="s">
        <v>2245</v>
      </c>
      <c r="D11" s="348" t="s">
        <v>2245</v>
      </c>
      <c r="E11" s="348" t="s">
        <v>1131</v>
      </c>
      <c r="F11" s="348" t="s">
        <v>672</v>
      </c>
      <c r="G11" s="348" t="s">
        <v>13577</v>
      </c>
      <c r="H11" s="349">
        <v>0</v>
      </c>
      <c r="I11" s="350" t="s">
        <v>1583</v>
      </c>
      <c r="J11" s="350" t="s">
        <v>1584</v>
      </c>
      <c r="K11" s="355"/>
      <c r="L11" s="355"/>
      <c r="M11" s="355"/>
      <c r="N11" s="355"/>
      <c r="O11" s="353"/>
      <c r="P11" s="351"/>
      <c r="Q11" s="354"/>
      <c r="R11" s="217" t="str">
        <f ca="1">IF(ISERROR($V11),"",OFFSET('Smelter Look-up'!$C$4,$V11-4,0)&amp;"")</f>
        <v>Asaka Riken Co., Ltd.</v>
      </c>
      <c r="S11" s="225" t="str">
        <f t="shared" ca="1" si="3"/>
        <v>JP</v>
      </c>
      <c r="T11" s="225" t="str">
        <f ca="1">IF(B11="","",IF(ISERROR(MATCH($J11,SorP!$B$1:$B$6230,0)),"",INDIRECT("'SorP'!$A$"&amp;MATCH($J11,SorP!$B$1:$B$6230,0))))</f>
        <v>JP-07</v>
      </c>
      <c r="U11" s="241"/>
      <c r="V11" s="275">
        <f>IF(C11="",NA(),MATCH($B11&amp;$C11,'Smelter Look-up'!$J:$J,0))</f>
        <v>27</v>
      </c>
      <c r="W11" s="276"/>
      <c r="X11" s="276">
        <f t="shared" si="4"/>
        <v>0</v>
      </c>
      <c r="Y11" s="276"/>
      <c r="Z11" s="276"/>
      <c r="AB11" s="278" t="str">
        <f t="shared" si="5"/>
        <v>GoldAsaka Riken Co., Ltd.</v>
      </c>
    </row>
    <row r="12" spans="1:34" s="277" customFormat="1" ht="20.100000000000001" customHeight="1">
      <c r="A12" s="347" t="s">
        <v>674</v>
      </c>
      <c r="B12" s="348" t="s">
        <v>1153</v>
      </c>
      <c r="C12" s="352" t="s">
        <v>1247</v>
      </c>
      <c r="D12" s="348" t="s">
        <v>1247</v>
      </c>
      <c r="E12" s="348" t="s">
        <v>1124</v>
      </c>
      <c r="F12" s="348" t="s">
        <v>674</v>
      </c>
      <c r="G12" s="348" t="s">
        <v>13577</v>
      </c>
      <c r="H12" s="349">
        <v>0</v>
      </c>
      <c r="I12" s="350" t="s">
        <v>1586</v>
      </c>
      <c r="J12" s="350" t="s">
        <v>1586</v>
      </c>
      <c r="K12" s="355"/>
      <c r="L12" s="355"/>
      <c r="M12" s="355"/>
      <c r="N12" s="355"/>
      <c r="O12" s="353"/>
      <c r="P12" s="351"/>
      <c r="Q12" s="354"/>
      <c r="R12" s="217" t="str">
        <f ca="1">IF(ISERROR($V12),"",OFFSET('Smelter Look-up'!$C$4,$V12-4,0)&amp;"")</f>
        <v>Aurubis AG</v>
      </c>
      <c r="S12" s="225" t="str">
        <f t="shared" ca="1" si="3"/>
        <v>DE</v>
      </c>
      <c r="T12" s="225" t="str">
        <f ca="1">IF(B12="","",IF(ISERROR(MATCH($J12,SorP!$B$1:$B$6230,0)),"",INDIRECT("'SorP'!$A$"&amp;MATCH($J12,SorP!$B$1:$B$6230,0))))</f>
        <v>DE-HH</v>
      </c>
      <c r="U12" s="241"/>
      <c r="V12" s="275">
        <f>IF(C12="",NA(),MATCH($B12&amp;$C12,'Smelter Look-up'!$J:$J,0))</f>
        <v>32</v>
      </c>
      <c r="W12" s="276"/>
      <c r="X12" s="276">
        <f t="shared" si="4"/>
        <v>0</v>
      </c>
      <c r="Y12" s="276"/>
      <c r="Z12" s="276"/>
      <c r="AB12" s="278" t="str">
        <f t="shared" si="5"/>
        <v>GoldAurubis AG</v>
      </c>
    </row>
    <row r="13" spans="1:34" s="277" customFormat="1" ht="20.100000000000001" customHeight="1">
      <c r="A13" s="347" t="s">
        <v>675</v>
      </c>
      <c r="B13" s="348" t="s">
        <v>1153</v>
      </c>
      <c r="C13" s="352" t="s">
        <v>927</v>
      </c>
      <c r="D13" s="348" t="s">
        <v>927</v>
      </c>
      <c r="E13" s="348" t="s">
        <v>904</v>
      </c>
      <c r="F13" s="348" t="s">
        <v>675</v>
      </c>
      <c r="G13" s="348" t="s">
        <v>13577</v>
      </c>
      <c r="H13" s="349">
        <v>0</v>
      </c>
      <c r="I13" s="350" t="s">
        <v>2310</v>
      </c>
      <c r="J13" s="350" t="s">
        <v>9770</v>
      </c>
      <c r="K13" s="355"/>
      <c r="L13" s="355"/>
      <c r="M13" s="355"/>
      <c r="N13" s="355"/>
      <c r="O13" s="353"/>
      <c r="P13" s="351"/>
      <c r="Q13" s="354"/>
      <c r="R13" s="217" t="str">
        <f ca="1">IF(ISERROR($V13),"",OFFSET('Smelter Look-up'!$C$4,$V13-4,0)&amp;"")</f>
        <v>Bangko Sentral ng Pilipinas (Central Bank of the Philippines)</v>
      </c>
      <c r="S13" s="225" t="str">
        <f t="shared" ca="1" si="3"/>
        <v>PH</v>
      </c>
      <c r="T13" s="225" t="str">
        <f ca="1">IF(B13="","",IF(ISERROR(MATCH($J13,SorP!$B$1:$B$6230,0)),"",INDIRECT("'SorP'!$A$"&amp;MATCH($J13,SorP!$B$1:$B$6230,0))))</f>
        <v>PH-RIZ</v>
      </c>
      <c r="U13" s="241"/>
      <c r="V13" s="275">
        <f>IF(C13="",NA(),MATCH($B13&amp;$C13,'Smelter Look-up'!$J:$J,0))</f>
        <v>36</v>
      </c>
      <c r="W13" s="276"/>
      <c r="X13" s="276">
        <f t="shared" si="4"/>
        <v>0</v>
      </c>
      <c r="Y13" s="276"/>
      <c r="Z13" s="276"/>
      <c r="AB13" s="278" t="str">
        <f t="shared" si="5"/>
        <v>GoldBangko Sentral ng Pilipinas (Central Bank of the Philippines)</v>
      </c>
    </row>
    <row r="14" spans="1:34" s="277" customFormat="1" ht="20.100000000000001" customHeight="1">
      <c r="A14" s="347" t="s">
        <v>676</v>
      </c>
      <c r="B14" s="348" t="s">
        <v>1153</v>
      </c>
      <c r="C14" s="352" t="s">
        <v>1249</v>
      </c>
      <c r="D14" s="348" t="s">
        <v>1249</v>
      </c>
      <c r="E14" s="348" t="s">
        <v>910</v>
      </c>
      <c r="F14" s="348" t="s">
        <v>676</v>
      </c>
      <c r="G14" s="348" t="s">
        <v>13577</v>
      </c>
      <c r="H14" s="349">
        <v>0</v>
      </c>
      <c r="I14" s="350" t="s">
        <v>1588</v>
      </c>
      <c r="J14" s="350" t="s">
        <v>10600</v>
      </c>
      <c r="K14" s="355"/>
      <c r="L14" s="355"/>
      <c r="M14" s="355"/>
      <c r="N14" s="355"/>
      <c r="O14" s="353"/>
      <c r="P14" s="351"/>
      <c r="Q14" s="354"/>
      <c r="R14" s="217" t="str">
        <f ca="1">IF(ISERROR($V14),"",OFFSET('Smelter Look-up'!$C$4,$V14-4,0)&amp;"")</f>
        <v>Boliden AB</v>
      </c>
      <c r="S14" s="225" t="str">
        <f t="shared" ca="1" si="3"/>
        <v>SE</v>
      </c>
      <c r="T14" s="225" t="str">
        <f ca="1">IF(B14="","",IF(ISERROR(MATCH($J14,SorP!$B$1:$B$6230,0)),"",INDIRECT("'SorP'!$A$"&amp;MATCH($J14,SorP!$B$1:$B$6230,0))))</f>
        <v>SE-AC</v>
      </c>
      <c r="U14" s="241"/>
      <c r="V14" s="275">
        <f>IF(C14="",NA(),MATCH($B14&amp;$C14,'Smelter Look-up'!$J:$J,0))</f>
        <v>37</v>
      </c>
      <c r="W14" s="276"/>
      <c r="X14" s="276">
        <f t="shared" si="4"/>
        <v>0</v>
      </c>
      <c r="Y14" s="276"/>
      <c r="Z14" s="276"/>
      <c r="AB14" s="278" t="str">
        <f t="shared" si="5"/>
        <v>GoldBoliden AB</v>
      </c>
    </row>
    <row r="15" spans="1:34" s="277" customFormat="1" ht="20.100000000000001" customHeight="1">
      <c r="A15" s="347" t="s">
        <v>678</v>
      </c>
      <c r="B15" s="348" t="s">
        <v>1153</v>
      </c>
      <c r="C15" s="352" t="s">
        <v>677</v>
      </c>
      <c r="D15" s="348" t="s">
        <v>677</v>
      </c>
      <c r="E15" s="348" t="s">
        <v>1124</v>
      </c>
      <c r="F15" s="348" t="s">
        <v>678</v>
      </c>
      <c r="G15" s="348" t="s">
        <v>13577</v>
      </c>
      <c r="H15" s="349">
        <v>0</v>
      </c>
      <c r="I15" s="350" t="s">
        <v>1572</v>
      </c>
      <c r="J15" s="350" t="s">
        <v>1573</v>
      </c>
      <c r="K15" s="355"/>
      <c r="L15" s="355"/>
      <c r="M15" s="355"/>
      <c r="N15" s="355"/>
      <c r="O15" s="353"/>
      <c r="P15" s="351"/>
      <c r="Q15" s="354"/>
      <c r="R15" s="217" t="str">
        <f ca="1">IF(ISERROR($V15),"",OFFSET('Smelter Look-up'!$C$4,$V15-4,0)&amp;"")</f>
        <v>C. Hafner GmbH + Co. KG</v>
      </c>
      <c r="S15" s="225" t="str">
        <f t="shared" ca="1" si="3"/>
        <v>DE</v>
      </c>
      <c r="T15" s="225" t="str">
        <f ca="1">IF(B15="","",IF(ISERROR(MATCH($J15,SorP!$B$1:$B$6230,0)),"",INDIRECT("'SorP'!$A$"&amp;MATCH($J15,SorP!$B$1:$B$6230,0))))</f>
        <v>DE-BW</v>
      </c>
      <c r="U15" s="241"/>
      <c r="V15" s="275">
        <f>IF(C15="",NA(),MATCH($B15&amp;$C15,'Smelter Look-up'!$J:$J,0))</f>
        <v>38</v>
      </c>
      <c r="W15" s="276"/>
      <c r="X15" s="276">
        <f t="shared" si="4"/>
        <v>0</v>
      </c>
      <c r="Y15" s="276"/>
      <c r="Z15" s="276"/>
      <c r="AB15" s="278" t="str">
        <f t="shared" si="5"/>
        <v>GoldC. Hafner GmbH + Co. KG</v>
      </c>
    </row>
    <row r="16" spans="1:34" s="277" customFormat="1" ht="20.100000000000001" customHeight="1">
      <c r="A16" s="347" t="s">
        <v>680</v>
      </c>
      <c r="B16" s="348" t="s">
        <v>1153</v>
      </c>
      <c r="C16" s="352" t="s">
        <v>2352</v>
      </c>
      <c r="D16" s="348" t="s">
        <v>2352</v>
      </c>
      <c r="E16" s="348" t="s">
        <v>1120</v>
      </c>
      <c r="F16" s="348" t="s">
        <v>680</v>
      </c>
      <c r="G16" s="348" t="s">
        <v>13577</v>
      </c>
      <c r="H16" s="349">
        <v>0</v>
      </c>
      <c r="I16" s="350" t="s">
        <v>1591</v>
      </c>
      <c r="J16" s="350" t="s">
        <v>1592</v>
      </c>
      <c r="K16" s="355"/>
      <c r="L16" s="355"/>
      <c r="M16" s="355"/>
      <c r="N16" s="355"/>
      <c r="O16" s="353"/>
      <c r="P16" s="351"/>
      <c r="Q16" s="354"/>
      <c r="R16" s="217" t="str">
        <f ca="1">IF(ISERROR($V16),"",OFFSET('Smelter Look-up'!$C$4,$V16-4,0)&amp;"")</f>
        <v>CCR Refinery - Glencore Canada Corporation</v>
      </c>
      <c r="S16" s="225" t="str">
        <f t="shared" ca="1" si="3"/>
        <v>CA</v>
      </c>
      <c r="T16" s="225" t="str">
        <f ca="1">IF(B16="","",IF(ISERROR(MATCH($J16,SorP!$B$1:$B$6230,0)),"",INDIRECT("'SorP'!$A$"&amp;MATCH($J16,SorP!$B$1:$B$6230,0))))</f>
        <v>CA-QC</v>
      </c>
      <c r="U16" s="241"/>
      <c r="V16" s="275">
        <f>IF(C16="",NA(),MATCH($B16&amp;$C16,'Smelter Look-up'!$J:$J,0))</f>
        <v>43</v>
      </c>
      <c r="W16" s="276"/>
      <c r="X16" s="276">
        <f t="shared" si="4"/>
        <v>0</v>
      </c>
      <c r="Y16" s="276"/>
      <c r="Z16" s="276"/>
      <c r="AB16" s="278" t="str">
        <f t="shared" si="5"/>
        <v>GoldCCR Refinery - Glencore Canada Corporation</v>
      </c>
    </row>
    <row r="17" spans="1:28" s="277" customFormat="1" ht="20.100000000000001" customHeight="1">
      <c r="A17" s="347" t="s">
        <v>682</v>
      </c>
      <c r="B17" s="348" t="s">
        <v>1153</v>
      </c>
      <c r="C17" s="352" t="s">
        <v>55</v>
      </c>
      <c r="D17" s="348" t="s">
        <v>55</v>
      </c>
      <c r="E17" s="348" t="s">
        <v>1130</v>
      </c>
      <c r="F17" s="348" t="s">
        <v>682</v>
      </c>
      <c r="G17" s="348" t="s">
        <v>13577</v>
      </c>
      <c r="H17" s="349">
        <v>0</v>
      </c>
      <c r="I17" s="350" t="s">
        <v>1599</v>
      </c>
      <c r="J17" s="350" t="s">
        <v>6691</v>
      </c>
      <c r="K17" s="355"/>
      <c r="L17" s="355"/>
      <c r="M17" s="355"/>
      <c r="N17" s="355"/>
      <c r="O17" s="353"/>
      <c r="P17" s="351"/>
      <c r="Q17" s="354"/>
      <c r="R17" s="217" t="str">
        <f ca="1">IF(ISERROR($V17),"",OFFSET('Smelter Look-up'!$C$4,$V17-4,0)&amp;"")</f>
        <v>Chimet S.p.A.</v>
      </c>
      <c r="S17" s="225" t="str">
        <f t="shared" ca="1" si="3"/>
        <v>IT</v>
      </c>
      <c r="T17" s="225" t="str">
        <f ca="1">IF(B17="","",IF(ISERROR(MATCH($J17,SorP!$B$1:$B$6230,0)),"",INDIRECT("'SorP'!$A$"&amp;MATCH($J17,SorP!$B$1:$B$6230,0))))</f>
        <v>IT-52</v>
      </c>
      <c r="U17" s="241"/>
      <c r="V17" s="275">
        <f>IF(C17="",NA(),MATCH($B17&amp;$C17,'Smelter Look-up'!$J:$J,0))</f>
        <v>51</v>
      </c>
      <c r="W17" s="276"/>
      <c r="X17" s="276">
        <f t="shared" si="4"/>
        <v>0</v>
      </c>
      <c r="Y17" s="276"/>
      <c r="Z17" s="276"/>
      <c r="AB17" s="278" t="str">
        <f t="shared" si="5"/>
        <v>GoldChimet S.p.A.</v>
      </c>
    </row>
    <row r="18" spans="1:28" s="277" customFormat="1" ht="20.100000000000001" customHeight="1">
      <c r="A18" s="347" t="s">
        <v>688</v>
      </c>
      <c r="B18" s="348" t="s">
        <v>1153</v>
      </c>
      <c r="C18" s="352" t="s">
        <v>687</v>
      </c>
      <c r="D18" s="348" t="s">
        <v>15512</v>
      </c>
      <c r="E18" s="348" t="s">
        <v>1124</v>
      </c>
      <c r="F18" s="348" t="s">
        <v>688</v>
      </c>
      <c r="G18" s="348" t="s">
        <v>13577</v>
      </c>
      <c r="H18" s="349">
        <v>0</v>
      </c>
      <c r="I18" s="350" t="s">
        <v>1572</v>
      </c>
      <c r="J18" s="350" t="s">
        <v>1573</v>
      </c>
      <c r="K18" s="355"/>
      <c r="L18" s="355"/>
      <c r="M18" s="355"/>
      <c r="N18" s="355"/>
      <c r="O18" s="353"/>
      <c r="P18" s="351"/>
      <c r="Q18" s="354"/>
      <c r="R18" s="217" t="str">
        <f ca="1">IF(ISERROR($V18),"",OFFSET('Smelter Look-up'!$C$4,$V18-4,0)&amp;"")</f>
        <v>DODUCO Contacts and Refining GmbH</v>
      </c>
      <c r="S18" s="225" t="str">
        <f t="shared" ca="1" si="3"/>
        <v>DE</v>
      </c>
      <c r="T18" s="225" t="str">
        <f ca="1">IF(B18="","",IF(ISERROR(MATCH($J18,SorP!$B$1:$B$6230,0)),"",INDIRECT("'SorP'!$A$"&amp;MATCH($J18,SorP!$B$1:$B$6230,0))))</f>
        <v>DE-BW</v>
      </c>
      <c r="U18" s="241"/>
      <c r="V18" s="275">
        <f>IF(C18="",NA(),MATCH($B18&amp;$C18,'Smelter Look-up'!$J:$J,0))</f>
        <v>60</v>
      </c>
      <c r="W18" s="276"/>
      <c r="X18" s="276">
        <f t="shared" si="4"/>
        <v>0</v>
      </c>
      <c r="Y18" s="276"/>
      <c r="Z18" s="276"/>
      <c r="AB18" s="278" t="str">
        <f t="shared" si="5"/>
        <v>GoldDoduco</v>
      </c>
    </row>
    <row r="19" spans="1:28" s="277" customFormat="1" ht="25.5">
      <c r="A19" s="347" t="s">
        <v>689</v>
      </c>
      <c r="B19" s="348" t="s">
        <v>1153</v>
      </c>
      <c r="C19" s="352" t="s">
        <v>929</v>
      </c>
      <c r="D19" s="348" t="s">
        <v>929</v>
      </c>
      <c r="E19" s="348" t="s">
        <v>1131</v>
      </c>
      <c r="F19" s="348" t="s">
        <v>689</v>
      </c>
      <c r="G19" s="348" t="s">
        <v>13577</v>
      </c>
      <c r="H19" s="349">
        <v>0</v>
      </c>
      <c r="I19" s="350" t="s">
        <v>1604</v>
      </c>
      <c r="J19" s="350" t="s">
        <v>1605</v>
      </c>
      <c r="K19" s="355"/>
      <c r="L19" s="355"/>
      <c r="M19" s="355"/>
      <c r="N19" s="355"/>
      <c r="O19" s="353"/>
      <c r="P19" s="351"/>
      <c r="Q19" s="354"/>
      <c r="R19" s="217" t="str">
        <f ca="1">IF(ISERROR($V19),"",OFFSET('Smelter Look-up'!$C$4,$V19-4,0)&amp;"")</f>
        <v>Dowa</v>
      </c>
      <c r="S19" s="225" t="str">
        <f t="shared" ca="1" si="3"/>
        <v>JP</v>
      </c>
      <c r="T19" s="225" t="str">
        <f ca="1">IF(B19="","",IF(ISERROR(MATCH($J19,SorP!$B$1:$B$6230,0)),"",INDIRECT("'SorP'!$A$"&amp;MATCH($J19,SorP!$B$1:$B$6230,0))))</f>
        <v>JP-05</v>
      </c>
      <c r="U19" s="241"/>
      <c r="V19" s="275">
        <f>IF(C19="",NA(),MATCH($B19&amp;$C19,'Smelter Look-up'!$J:$J,0))</f>
        <v>63</v>
      </c>
      <c r="W19" s="276"/>
      <c r="X19" s="276">
        <f t="shared" si="4"/>
        <v>0</v>
      </c>
      <c r="Y19" s="276"/>
      <c r="Z19" s="276"/>
      <c r="AB19" s="278" t="str">
        <f t="shared" si="5"/>
        <v>GoldDowa</v>
      </c>
    </row>
    <row r="20" spans="1:28" s="277" customFormat="1" ht="63.75">
      <c r="A20" s="347" t="s">
        <v>407</v>
      </c>
      <c r="B20" s="348" t="s">
        <v>1153</v>
      </c>
      <c r="C20" s="352" t="s">
        <v>15513</v>
      </c>
      <c r="D20" s="348" t="s">
        <v>15513</v>
      </c>
      <c r="E20" s="348" t="s">
        <v>1131</v>
      </c>
      <c r="F20" s="348" t="s">
        <v>407</v>
      </c>
      <c r="G20" s="348" t="s">
        <v>13577</v>
      </c>
      <c r="H20" s="349">
        <v>0</v>
      </c>
      <c r="I20" s="350" t="s">
        <v>1609</v>
      </c>
      <c r="J20" s="350" t="s">
        <v>1610</v>
      </c>
      <c r="K20" s="355"/>
      <c r="L20" s="355"/>
      <c r="M20" s="355"/>
      <c r="N20" s="355"/>
      <c r="O20" s="353"/>
      <c r="P20" s="351"/>
      <c r="Q20" s="354"/>
      <c r="R20" s="217" t="str">
        <f ca="1">IF(ISERROR($V20),"",OFFSET('Smelter Look-up'!$C$4,$V20-4,0)&amp;"")</f>
        <v/>
      </c>
      <c r="S20" s="225" t="str">
        <f t="shared" ca="1" si="3"/>
        <v>JP</v>
      </c>
      <c r="T20" s="225" t="str">
        <f ca="1">IF(B20="","",IF(ISERROR(MATCH($J20,SorP!$B$1:$B$6230,0)),"",INDIRECT("'SorP'!$A$"&amp;MATCH($J20,SorP!$B$1:$B$6230,0))))</f>
        <v>JP-11</v>
      </c>
      <c r="U20" s="241"/>
      <c r="V20" s="275" t="e">
        <f>IF(C20="",NA(),MATCH($B20&amp;$C20,'Smelter Look-up'!$J:$J,0))</f>
        <v>#N/A</v>
      </c>
      <c r="W20" s="276"/>
      <c r="X20" s="276">
        <f t="shared" si="4"/>
        <v>0</v>
      </c>
      <c r="Y20" s="276"/>
      <c r="Z20" s="276"/>
      <c r="AB20" s="278" t="str">
        <f t="shared" si="5"/>
        <v>GoldEco-System Recycling Co., Ltd.</v>
      </c>
    </row>
    <row r="21" spans="1:28" s="277" customFormat="1" ht="63.75">
      <c r="A21" s="347" t="s">
        <v>690</v>
      </c>
      <c r="B21" s="348" t="s">
        <v>1153</v>
      </c>
      <c r="C21" s="352" t="s">
        <v>2308</v>
      </c>
      <c r="D21" s="348" t="s">
        <v>2308</v>
      </c>
      <c r="E21" s="348" t="s">
        <v>906</v>
      </c>
      <c r="F21" s="348" t="s">
        <v>690</v>
      </c>
      <c r="G21" s="348" t="s">
        <v>13577</v>
      </c>
      <c r="H21" s="349">
        <v>0</v>
      </c>
      <c r="I21" s="350" t="s">
        <v>1611</v>
      </c>
      <c r="J21" s="350" t="s">
        <v>10330</v>
      </c>
      <c r="K21" s="355"/>
      <c r="L21" s="355"/>
      <c r="M21" s="355"/>
      <c r="N21" s="355"/>
      <c r="O21" s="353"/>
      <c r="P21" s="351"/>
      <c r="Q21" s="354"/>
      <c r="R21" s="217" t="str">
        <f ca="1">IF(ISERROR($V21),"",OFFSET('Smelter Look-up'!$C$4,$V21-4,0)&amp;"")</f>
        <v>OJSC Novosibirsk Refinery</v>
      </c>
      <c r="S21" s="225" t="str">
        <f t="shared" ca="1" si="3"/>
        <v>RU</v>
      </c>
      <c r="T21" s="225" t="str">
        <f ca="1">IF(B21="","",IF(ISERROR(MATCH($J21,SorP!$B$1:$B$6230,0)),"",INDIRECT("'SorP'!$A$"&amp;MATCH($J21,SorP!$B$1:$B$6230,0))))</f>
        <v>RU-NVS</v>
      </c>
      <c r="U21" s="241"/>
      <c r="V21" s="275">
        <f>IF(C21="",NA(),MATCH($B21&amp;$C21,'Smelter Look-up'!$J:$J,0))</f>
        <v>183</v>
      </c>
      <c r="W21" s="276"/>
      <c r="X21" s="276">
        <f t="shared" si="4"/>
        <v>0</v>
      </c>
      <c r="Y21" s="276"/>
      <c r="Z21" s="276"/>
      <c r="AB21" s="278" t="str">
        <f t="shared" si="5"/>
        <v>GoldOJSC Novosibirsk Refinery</v>
      </c>
    </row>
    <row r="22" spans="1:28" s="277" customFormat="1" ht="51">
      <c r="A22" s="347" t="s">
        <v>694</v>
      </c>
      <c r="B22" s="348" t="s">
        <v>1153</v>
      </c>
      <c r="C22" s="352" t="s">
        <v>1062</v>
      </c>
      <c r="D22" s="348" t="s">
        <v>1062</v>
      </c>
      <c r="E22" s="348" t="s">
        <v>1124</v>
      </c>
      <c r="F22" s="348" t="s">
        <v>694</v>
      </c>
      <c r="G22" s="348" t="s">
        <v>13577</v>
      </c>
      <c r="H22" s="349">
        <v>0</v>
      </c>
      <c r="I22" s="350" t="s">
        <v>1572</v>
      </c>
      <c r="J22" s="350" t="s">
        <v>1573</v>
      </c>
      <c r="K22" s="355"/>
      <c r="L22" s="355"/>
      <c r="M22" s="355"/>
      <c r="N22" s="355"/>
      <c r="O22" s="353"/>
      <c r="P22" s="351"/>
      <c r="Q22" s="354"/>
      <c r="R22" s="217" t="str">
        <f ca="1">IF(ISERROR($V22),"",OFFSET('Smelter Look-up'!$C$4,$V22-4,0)&amp;"")</f>
        <v>Heimerle + Meule GmbH</v>
      </c>
      <c r="S22" s="225" t="str">
        <f t="shared" ca="1" si="3"/>
        <v>DE</v>
      </c>
      <c r="T22" s="225" t="str">
        <f ca="1">IF(B22="","",IF(ISERROR(MATCH($J22,SorP!$B$1:$B$6230,0)),"",INDIRECT("'SorP'!$A$"&amp;MATCH($J22,SorP!$B$1:$B$6230,0))))</f>
        <v>DE-BW</v>
      </c>
      <c r="U22" s="241"/>
      <c r="V22" s="275">
        <f>IF(C22="",NA(),MATCH($B22&amp;$C22,'Smelter Look-up'!$J:$J,0))</f>
        <v>92</v>
      </c>
      <c r="W22" s="276"/>
      <c r="X22" s="276">
        <f t="shared" si="4"/>
        <v>0</v>
      </c>
      <c r="Y22" s="276"/>
      <c r="Z22" s="276"/>
      <c r="AB22" s="278" t="str">
        <f t="shared" si="5"/>
        <v>GoldHeimerle + Meule GmbH</v>
      </c>
    </row>
    <row r="23" spans="1:28" s="277" customFormat="1" ht="51">
      <c r="A23" s="347" t="s">
        <v>695</v>
      </c>
      <c r="B23" s="348" t="s">
        <v>1153</v>
      </c>
      <c r="C23" s="352" t="s">
        <v>56</v>
      </c>
      <c r="D23" s="348" t="s">
        <v>56</v>
      </c>
      <c r="E23" s="348" t="s">
        <v>1123</v>
      </c>
      <c r="F23" s="348" t="s">
        <v>695</v>
      </c>
      <c r="G23" s="348" t="s">
        <v>13577</v>
      </c>
      <c r="H23" s="349">
        <v>0</v>
      </c>
      <c r="I23" s="350" t="s">
        <v>1618</v>
      </c>
      <c r="J23" s="350" t="s">
        <v>15514</v>
      </c>
      <c r="K23" s="355"/>
      <c r="L23" s="355"/>
      <c r="M23" s="355"/>
      <c r="N23" s="355"/>
      <c r="O23" s="353"/>
      <c r="P23" s="351"/>
      <c r="Q23" s="354"/>
      <c r="R23" s="217" t="str">
        <f ca="1">IF(ISERROR($V23),"",OFFSET('Smelter Look-up'!$C$4,$V23-4,0)&amp;"")</f>
        <v>Heraeus Metals Hong Kong Ltd.</v>
      </c>
      <c r="S23" s="225" t="str">
        <f t="shared" ca="1" si="3"/>
        <v>CN</v>
      </c>
      <c r="T23" s="225" t="str">
        <f ca="1">IF(B23="","",IF(ISERROR(MATCH($J23,SorP!$B$1:$B$6230,0)),"",INDIRECT("'SorP'!$A$"&amp;MATCH($J23,SorP!$B$1:$B$6230,0))))</f>
        <v/>
      </c>
      <c r="U23" s="241"/>
      <c r="V23" s="275">
        <f>IF(C23="",NA(),MATCH($B23&amp;$C23,'Smelter Look-up'!$J:$J,0))</f>
        <v>96</v>
      </c>
      <c r="W23" s="276"/>
      <c r="X23" s="276">
        <f t="shared" si="4"/>
        <v>0</v>
      </c>
      <c r="Y23" s="276"/>
      <c r="Z23" s="276"/>
      <c r="AB23" s="278" t="str">
        <f t="shared" si="5"/>
        <v>GoldHeraeus Ltd. Hong Kong</v>
      </c>
    </row>
    <row r="24" spans="1:28" s="277" customFormat="1" ht="114.75">
      <c r="A24" s="347" t="s">
        <v>699</v>
      </c>
      <c r="B24" s="348" t="s">
        <v>1153</v>
      </c>
      <c r="C24" s="352" t="s">
        <v>2424</v>
      </c>
      <c r="D24" s="348" t="s">
        <v>2424</v>
      </c>
      <c r="E24" s="348" t="s">
        <v>1123</v>
      </c>
      <c r="F24" s="348" t="s">
        <v>699</v>
      </c>
      <c r="G24" s="348" t="s">
        <v>13577</v>
      </c>
      <c r="H24" s="349">
        <v>0</v>
      </c>
      <c r="I24" s="350" t="s">
        <v>1623</v>
      </c>
      <c r="J24" s="350" t="s">
        <v>15515</v>
      </c>
      <c r="K24" s="355"/>
      <c r="L24" s="355"/>
      <c r="M24" s="355"/>
      <c r="N24" s="355"/>
      <c r="O24" s="353"/>
      <c r="P24" s="351"/>
      <c r="Q24" s="354"/>
      <c r="R24" s="217" t="str">
        <f ca="1">IF(ISERROR($V24),"",OFFSET('Smelter Look-up'!$C$4,$V24-4,0)&amp;"")</f>
        <v>Inner Mongolia Qiankun Gold and Silver Refinery Share Co., Ltd.</v>
      </c>
      <c r="S24" s="225" t="str">
        <f t="shared" ca="1" si="3"/>
        <v>CN</v>
      </c>
      <c r="T24" s="225" t="str">
        <f ca="1">IF(B24="","",IF(ISERROR(MATCH($J24,SorP!$B$1:$B$6230,0)),"",INDIRECT("'SorP'!$A$"&amp;MATCH($J24,SorP!$B$1:$B$6230,0))))</f>
        <v/>
      </c>
      <c r="U24" s="241"/>
      <c r="V24" s="275">
        <f>IF(C24="",NA(),MATCH($B24&amp;$C24,'Smelter Look-up'!$J:$J,0))</f>
        <v>105</v>
      </c>
      <c r="W24" s="276"/>
      <c r="X24" s="276">
        <f t="shared" si="4"/>
        <v>0</v>
      </c>
      <c r="Y24" s="276"/>
      <c r="Z24" s="276"/>
      <c r="AB24" s="278" t="str">
        <f t="shared" si="5"/>
        <v>GoldInner Mongolia Qiankun Gold and Silver Refinery Share Co., Ltd.</v>
      </c>
    </row>
    <row r="25" spans="1:28" s="277" customFormat="1" ht="63.75">
      <c r="A25" s="347" t="s">
        <v>700</v>
      </c>
      <c r="B25" s="348" t="s">
        <v>1153</v>
      </c>
      <c r="C25" s="352" t="s">
        <v>1251</v>
      </c>
      <c r="D25" s="348" t="s">
        <v>1251</v>
      </c>
      <c r="E25" s="348" t="s">
        <v>1131</v>
      </c>
      <c r="F25" s="348" t="s">
        <v>700</v>
      </c>
      <c r="G25" s="348" t="s">
        <v>13577</v>
      </c>
      <c r="H25" s="349">
        <v>0</v>
      </c>
      <c r="I25" s="350" t="s">
        <v>1624</v>
      </c>
      <c r="J25" s="350" t="s">
        <v>1610</v>
      </c>
      <c r="K25" s="355"/>
      <c r="L25" s="355"/>
      <c r="M25" s="355"/>
      <c r="N25" s="355"/>
      <c r="O25" s="353"/>
      <c r="P25" s="351"/>
      <c r="Q25" s="354"/>
      <c r="R25" s="217" t="str">
        <f ca="1">IF(ISERROR($V25),"",OFFSET('Smelter Look-up'!$C$4,$V25-4,0)&amp;"")</f>
        <v>Ishifuku Metal Industry Co., Ltd.</v>
      </c>
      <c r="S25" s="225" t="str">
        <f t="shared" ca="1" si="3"/>
        <v>JP</v>
      </c>
      <c r="T25" s="225" t="str">
        <f ca="1">IF(B25="","",IF(ISERROR(MATCH($J25,SorP!$B$1:$B$6230,0)),"",INDIRECT("'SorP'!$A$"&amp;MATCH($J25,SorP!$B$1:$B$6230,0))))</f>
        <v>JP-11</v>
      </c>
      <c r="U25" s="241"/>
      <c r="V25" s="275">
        <f>IF(C25="",NA(),MATCH($B25&amp;$C25,'Smelter Look-up'!$J:$J,0))</f>
        <v>107</v>
      </c>
      <c r="W25" s="276"/>
      <c r="X25" s="276">
        <f t="shared" si="4"/>
        <v>0</v>
      </c>
      <c r="Y25" s="276"/>
      <c r="Z25" s="276"/>
      <c r="AB25" s="278" t="str">
        <f t="shared" si="5"/>
        <v>GoldIshifuku Metal Industry Co., Ltd.</v>
      </c>
    </row>
    <row r="26" spans="1:28" s="277" customFormat="1" ht="51">
      <c r="A26" s="347" t="s">
        <v>701</v>
      </c>
      <c r="B26" s="348" t="s">
        <v>1153</v>
      </c>
      <c r="C26" s="352" t="s">
        <v>1258</v>
      </c>
      <c r="D26" s="348" t="s">
        <v>1258</v>
      </c>
      <c r="E26" s="348" t="s">
        <v>912</v>
      </c>
      <c r="F26" s="348" t="s">
        <v>701</v>
      </c>
      <c r="G26" s="348" t="s">
        <v>13577</v>
      </c>
      <c r="H26" s="349">
        <v>0</v>
      </c>
      <c r="I26" s="350" t="s">
        <v>1625</v>
      </c>
      <c r="J26" s="350" t="s">
        <v>11593</v>
      </c>
      <c r="K26" s="355"/>
      <c r="L26" s="355"/>
      <c r="M26" s="355"/>
      <c r="N26" s="355"/>
      <c r="O26" s="353"/>
      <c r="P26" s="351"/>
      <c r="Q26" s="354"/>
      <c r="R26" s="217" t="str">
        <f ca="1">IF(ISERROR($V26),"",OFFSET('Smelter Look-up'!$C$4,$V26-4,0)&amp;"")</f>
        <v>Istanbul Gold Refinery</v>
      </c>
      <c r="S26" s="225" t="str">
        <f t="shared" ca="1" si="3"/>
        <v>TR</v>
      </c>
      <c r="T26" s="225" t="str">
        <f ca="1">IF(B26="","",IF(ISERROR(MATCH($J26,SorP!$B$1:$B$6230,0)),"",INDIRECT("'SorP'!$A$"&amp;MATCH($J26,SorP!$B$1:$B$6230,0))))</f>
        <v>TR-34</v>
      </c>
      <c r="U26" s="241"/>
      <c r="V26" s="275">
        <f>IF(C26="",NA(),MATCH($B26&amp;$C26,'Smelter Look-up'!$J:$J,0))</f>
        <v>108</v>
      </c>
      <c r="W26" s="276"/>
      <c r="X26" s="276">
        <f t="shared" si="4"/>
        <v>0</v>
      </c>
      <c r="Y26" s="276"/>
      <c r="Z26" s="276"/>
      <c r="AB26" s="278" t="str">
        <f t="shared" si="5"/>
        <v>GoldIstanbul Gold Refinery</v>
      </c>
    </row>
    <row r="27" spans="1:28" s="277" customFormat="1" ht="25.5">
      <c r="A27" s="347" t="s">
        <v>702</v>
      </c>
      <c r="B27" s="348" t="s">
        <v>1153</v>
      </c>
      <c r="C27" s="352" t="s">
        <v>931</v>
      </c>
      <c r="D27" s="348" t="s">
        <v>931</v>
      </c>
      <c r="E27" s="348" t="s">
        <v>1131</v>
      </c>
      <c r="F27" s="348" t="s">
        <v>702</v>
      </c>
      <c r="G27" s="348" t="s">
        <v>13577</v>
      </c>
      <c r="H27" s="349">
        <v>0</v>
      </c>
      <c r="I27" s="350" t="s">
        <v>1626</v>
      </c>
      <c r="J27" s="350" t="s">
        <v>1626</v>
      </c>
      <c r="K27" s="355"/>
      <c r="L27" s="355"/>
      <c r="M27" s="355"/>
      <c r="N27" s="355"/>
      <c r="O27" s="353"/>
      <c r="P27" s="351"/>
      <c r="Q27" s="354"/>
      <c r="R27" s="217" t="str">
        <f ca="1">IF(ISERROR($V27),"",OFFSET('Smelter Look-up'!$C$4,$V27-4,0)&amp;"")</f>
        <v>Japan Mint</v>
      </c>
      <c r="S27" s="225" t="str">
        <f t="shared" ca="1" si="3"/>
        <v>JP</v>
      </c>
      <c r="T27" s="225" t="str">
        <f ca="1">IF(B27="","",IF(ISERROR(MATCH($J27,SorP!$B$1:$B$6230,0)),"",INDIRECT("'SorP'!$A$"&amp;MATCH($J27,SorP!$B$1:$B$6230,0))))</f>
        <v>JP-27</v>
      </c>
      <c r="U27" s="241"/>
      <c r="V27" s="275">
        <f>IF(C27="",NA(),MATCH($B27&amp;$C27,'Smelter Look-up'!$J:$J,0))</f>
        <v>111</v>
      </c>
      <c r="W27" s="276"/>
      <c r="X27" s="276">
        <f t="shared" si="4"/>
        <v>0</v>
      </c>
      <c r="Y27" s="276"/>
      <c r="Z27" s="276"/>
      <c r="AB27" s="278" t="str">
        <f t="shared" si="5"/>
        <v>GoldJapan Mint</v>
      </c>
    </row>
    <row r="28" spans="1:28" s="277" customFormat="1" ht="51">
      <c r="A28" s="347" t="s">
        <v>703</v>
      </c>
      <c r="B28" s="348" t="s">
        <v>1153</v>
      </c>
      <c r="C28" s="352" t="s">
        <v>2425</v>
      </c>
      <c r="D28" s="348" t="s">
        <v>2425</v>
      </c>
      <c r="E28" s="348" t="s">
        <v>1123</v>
      </c>
      <c r="F28" s="348" t="s">
        <v>703</v>
      </c>
      <c r="G28" s="348" t="s">
        <v>13577</v>
      </c>
      <c r="H28" s="349">
        <v>0</v>
      </c>
      <c r="I28" s="350" t="s">
        <v>1627</v>
      </c>
      <c r="J28" s="350" t="s">
        <v>15516</v>
      </c>
      <c r="K28" s="355"/>
      <c r="L28" s="355"/>
      <c r="M28" s="355"/>
      <c r="N28" s="355"/>
      <c r="O28" s="353"/>
      <c r="P28" s="351"/>
      <c r="Q28" s="354"/>
      <c r="R28" s="217" t="str">
        <f ca="1">IF(ISERROR($V28),"",OFFSET('Smelter Look-up'!$C$4,$V28-4,0)&amp;"")</f>
        <v>Jiangxi Copper Co., Ltd.</v>
      </c>
      <c r="S28" s="225" t="str">
        <f t="shared" ca="1" si="3"/>
        <v>CN</v>
      </c>
      <c r="T28" s="225" t="str">
        <f ca="1">IF(B28="","",IF(ISERROR(MATCH($J28,SorP!$B$1:$B$6230,0)),"",INDIRECT("'SorP'!$A$"&amp;MATCH($J28,SorP!$B$1:$B$6230,0))))</f>
        <v/>
      </c>
      <c r="U28" s="241"/>
      <c r="V28" s="275">
        <f>IF(C28="",NA(),MATCH($B28&amp;$C28,'Smelter Look-up'!$J:$J,0))</f>
        <v>113</v>
      </c>
      <c r="W28" s="276"/>
      <c r="X28" s="276">
        <f t="shared" si="4"/>
        <v>0</v>
      </c>
      <c r="Y28" s="276"/>
      <c r="Z28" s="276"/>
      <c r="AB28" s="278" t="str">
        <f t="shared" si="5"/>
        <v>GoldJiangxi Copper Co., Ltd.</v>
      </c>
    </row>
    <row r="29" spans="1:28" s="277" customFormat="1" ht="51">
      <c r="A29" s="347" t="s">
        <v>704</v>
      </c>
      <c r="B29" s="348" t="s">
        <v>1153</v>
      </c>
      <c r="C29" s="352" t="s">
        <v>2309</v>
      </c>
      <c r="D29" s="348" t="s">
        <v>2309</v>
      </c>
      <c r="E29" s="348" t="s">
        <v>15517</v>
      </c>
      <c r="F29" s="348" t="s">
        <v>704</v>
      </c>
      <c r="G29" s="348" t="s">
        <v>13577</v>
      </c>
      <c r="H29" s="349">
        <v>0</v>
      </c>
      <c r="I29" s="350" t="s">
        <v>1629</v>
      </c>
      <c r="J29" s="350" t="s">
        <v>1630</v>
      </c>
      <c r="K29" s="355"/>
      <c r="L29" s="355"/>
      <c r="M29" s="355"/>
      <c r="N29" s="355"/>
      <c r="O29" s="353"/>
      <c r="P29" s="351"/>
      <c r="Q29" s="354"/>
      <c r="R29" s="217" t="str">
        <f ca="1">IF(ISERROR($V29),"",OFFSET('Smelter Look-up'!$C$4,$V29-4,0)&amp;"")</f>
        <v>Asahi Refining USA Inc.</v>
      </c>
      <c r="S29" s="225" t="str">
        <f t="shared" ca="1" si="3"/>
        <v>Unknown</v>
      </c>
      <c r="T29" s="225" t="str">
        <f ca="1">IF(B29="","",IF(ISERROR(MATCH($J29,SorP!$B$1:$B$6230,0)),"",INDIRECT("'SorP'!$A$"&amp;MATCH($J29,SorP!$B$1:$B$6230,0))))</f>
        <v>US-UT</v>
      </c>
      <c r="U29" s="241"/>
      <c r="V29" s="275">
        <f>IF(C29="",NA(),MATCH($B29&amp;$C29,'Smelter Look-up'!$J:$J,0))</f>
        <v>26</v>
      </c>
      <c r="W29" s="276"/>
      <c r="X29" s="276">
        <f t="shared" si="4"/>
        <v>0</v>
      </c>
      <c r="Y29" s="276"/>
      <c r="Z29" s="276"/>
      <c r="AB29" s="278" t="str">
        <f t="shared" si="5"/>
        <v>GoldAsahi Refining USA Inc.</v>
      </c>
    </row>
    <row r="30" spans="1:28" s="277" customFormat="1" ht="63.75">
      <c r="A30" s="347" t="s">
        <v>705</v>
      </c>
      <c r="B30" s="348" t="s">
        <v>1153</v>
      </c>
      <c r="C30" s="352" t="s">
        <v>2411</v>
      </c>
      <c r="D30" s="348" t="s">
        <v>2411</v>
      </c>
      <c r="E30" s="348" t="s">
        <v>1120</v>
      </c>
      <c r="F30" s="348" t="s">
        <v>705</v>
      </c>
      <c r="G30" s="348" t="s">
        <v>13577</v>
      </c>
      <c r="H30" s="349">
        <v>0</v>
      </c>
      <c r="I30" s="350" t="s">
        <v>1632</v>
      </c>
      <c r="J30" s="350" t="s">
        <v>1633</v>
      </c>
      <c r="K30" s="355"/>
      <c r="L30" s="355"/>
      <c r="M30" s="355"/>
      <c r="N30" s="355"/>
      <c r="O30" s="353"/>
      <c r="P30" s="351"/>
      <c r="Q30" s="354"/>
      <c r="R30" s="217" t="str">
        <f ca="1">IF(ISERROR($V30),"",OFFSET('Smelter Look-up'!$C$4,$V30-4,0)&amp;"")</f>
        <v>Asahi Refining Canada Ltd.</v>
      </c>
      <c r="S30" s="225" t="str">
        <f t="shared" ca="1" si="3"/>
        <v>CA</v>
      </c>
      <c r="T30" s="225" t="str">
        <f ca="1">IF(B30="","",IF(ISERROR(MATCH($J30,SorP!$B$1:$B$6230,0)),"",INDIRECT("'SorP'!$A$"&amp;MATCH($J30,SorP!$B$1:$B$6230,0))))</f>
        <v>CA-ON</v>
      </c>
      <c r="U30" s="241"/>
      <c r="V30" s="275">
        <f>IF(C30="",NA(),MATCH($B30&amp;$C30,'Smelter Look-up'!$J:$J,0))</f>
        <v>25</v>
      </c>
      <c r="W30" s="276"/>
      <c r="X30" s="276">
        <f t="shared" si="4"/>
        <v>0</v>
      </c>
      <c r="Y30" s="276"/>
      <c r="Z30" s="276"/>
      <c r="AB30" s="278" t="str">
        <f t="shared" si="5"/>
        <v>GoldAsahi Refining Canada Ltd.</v>
      </c>
    </row>
    <row r="31" spans="1:28" s="277" customFormat="1" ht="63.75">
      <c r="A31" s="347" t="s">
        <v>708</v>
      </c>
      <c r="B31" s="348" t="s">
        <v>1153</v>
      </c>
      <c r="C31" s="352" t="s">
        <v>57</v>
      </c>
      <c r="D31" s="348" t="s">
        <v>57</v>
      </c>
      <c r="E31" s="348" t="s">
        <v>1131</v>
      </c>
      <c r="F31" s="348" t="s">
        <v>708</v>
      </c>
      <c r="G31" s="348" t="s">
        <v>13577</v>
      </c>
      <c r="H31" s="349">
        <v>0</v>
      </c>
      <c r="I31" s="350" t="s">
        <v>2496</v>
      </c>
      <c r="J31" s="350" t="s">
        <v>6885</v>
      </c>
      <c r="K31" s="355"/>
      <c r="L31" s="355"/>
      <c r="M31" s="355"/>
      <c r="N31" s="355"/>
      <c r="O31" s="353"/>
      <c r="P31" s="351"/>
      <c r="Q31" s="354"/>
      <c r="R31" s="217" t="str">
        <f ca="1">IF(ISERROR($V31),"",OFFSET('Smelter Look-up'!$C$4,$V31-4,0)&amp;"")</f>
        <v>JX Nippon Mining &amp; Metals Co., Ltd.</v>
      </c>
      <c r="S31" s="225" t="str">
        <f t="shared" ca="1" si="3"/>
        <v>JP</v>
      </c>
      <c r="T31" s="225" t="str">
        <f ca="1">IF(B31="","",IF(ISERROR(MATCH($J31,SorP!$B$1:$B$6230,0)),"",INDIRECT("'SorP'!$A$"&amp;MATCH($J31,SorP!$B$1:$B$6230,0))))</f>
        <v>JP-44</v>
      </c>
      <c r="U31" s="241"/>
      <c r="V31" s="275">
        <f>IF(C31="",NA(),MATCH($B31&amp;$C31,'Smelter Look-up'!$J:$J,0))</f>
        <v>120</v>
      </c>
      <c r="W31" s="276"/>
      <c r="X31" s="276">
        <f t="shared" si="4"/>
        <v>0</v>
      </c>
      <c r="Y31" s="276"/>
      <c r="Z31" s="276"/>
      <c r="AB31" s="278" t="str">
        <f t="shared" si="5"/>
        <v>GoldJX Nippon Mining &amp; Metals Co., Ltd.</v>
      </c>
    </row>
    <row r="32" spans="1:28" s="277" customFormat="1" ht="25.5">
      <c r="A32" s="347" t="s">
        <v>709</v>
      </c>
      <c r="B32" s="348" t="s">
        <v>1153</v>
      </c>
      <c r="C32" s="352" t="s">
        <v>1635</v>
      </c>
      <c r="D32" s="348" t="s">
        <v>1635</v>
      </c>
      <c r="E32" s="348" t="s">
        <v>1132</v>
      </c>
      <c r="F32" s="348" t="s">
        <v>709</v>
      </c>
      <c r="G32" s="348" t="s">
        <v>13577</v>
      </c>
      <c r="H32" s="349">
        <v>0</v>
      </c>
      <c r="I32" s="350" t="s">
        <v>1636</v>
      </c>
      <c r="J32" s="350" t="s">
        <v>7279</v>
      </c>
      <c r="K32" s="355"/>
      <c r="L32" s="355"/>
      <c r="M32" s="355"/>
      <c r="N32" s="355"/>
      <c r="O32" s="353"/>
      <c r="P32" s="351"/>
      <c r="Q32" s="354"/>
      <c r="R32" s="217" t="str">
        <f ca="1">IF(ISERROR($V32),"",OFFSET('Smelter Look-up'!$C$4,$V32-4,0)&amp;"")</f>
        <v>Kazzinc</v>
      </c>
      <c r="S32" s="225" t="str">
        <f t="shared" ca="1" si="3"/>
        <v>KZ</v>
      </c>
      <c r="T32" s="225" t="str">
        <f ca="1">IF(B32="","",IF(ISERROR(MATCH($J32,SorP!$B$1:$B$6230,0)),"",INDIRECT("'SorP'!$A$"&amp;MATCH($J32,SorP!$B$1:$B$6230,0))))</f>
        <v>KZ-KAR</v>
      </c>
      <c r="U32" s="241"/>
      <c r="V32" s="275">
        <f>IF(C32="",NA(),MATCH($B32&amp;$C32,'Smelter Look-up'!$J:$J,0))</f>
        <v>123</v>
      </c>
      <c r="W32" s="276"/>
      <c r="X32" s="276">
        <f t="shared" si="4"/>
        <v>0</v>
      </c>
      <c r="Y32" s="276"/>
      <c r="Z32" s="276"/>
      <c r="AB32" s="278" t="str">
        <f t="shared" si="5"/>
        <v>GoldKazzinc</v>
      </c>
    </row>
    <row r="33" spans="1:28" s="277" customFormat="1" ht="63.75">
      <c r="A33" s="347" t="s">
        <v>711</v>
      </c>
      <c r="B33" s="348" t="s">
        <v>1153</v>
      </c>
      <c r="C33" s="352" t="s">
        <v>710</v>
      </c>
      <c r="D33" s="348" t="s">
        <v>710</v>
      </c>
      <c r="E33" s="348" t="s">
        <v>15517</v>
      </c>
      <c r="F33" s="348" t="s">
        <v>711</v>
      </c>
      <c r="G33" s="348" t="s">
        <v>13577</v>
      </c>
      <c r="H33" s="349">
        <v>0</v>
      </c>
      <c r="I33" s="350" t="s">
        <v>1637</v>
      </c>
      <c r="J33" s="350" t="s">
        <v>1630</v>
      </c>
      <c r="K33" s="355"/>
      <c r="L33" s="355"/>
      <c r="M33" s="355"/>
      <c r="N33" s="355"/>
      <c r="O33" s="353"/>
      <c r="P33" s="351"/>
      <c r="Q33" s="354"/>
      <c r="R33" s="217" t="str">
        <f ca="1">IF(ISERROR($V33),"",OFFSET('Smelter Look-up'!$C$4,$V33-4,0)&amp;"")</f>
        <v>Kennecott Utah Copper LLC</v>
      </c>
      <c r="S33" s="225" t="str">
        <f t="shared" ca="1" si="3"/>
        <v>Unknown</v>
      </c>
      <c r="T33" s="225" t="str">
        <f ca="1">IF(B33="","",IF(ISERROR(MATCH($J33,SorP!$B$1:$B$6230,0)),"",INDIRECT("'SorP'!$A$"&amp;MATCH($J33,SorP!$B$1:$B$6230,0))))</f>
        <v>US-UT</v>
      </c>
      <c r="U33" s="241"/>
      <c r="V33" s="275">
        <f>IF(C33="",NA(),MATCH($B33&amp;$C33,'Smelter Look-up'!$J:$J,0))</f>
        <v>124</v>
      </c>
      <c r="W33" s="276"/>
      <c r="X33" s="276">
        <f t="shared" si="4"/>
        <v>0</v>
      </c>
      <c r="Y33" s="276"/>
      <c r="Z33" s="276"/>
      <c r="AB33" s="278" t="str">
        <f t="shared" si="5"/>
        <v>GoldKennecott Utah Copper LLC</v>
      </c>
    </row>
    <row r="34" spans="1:28" s="277" customFormat="1" ht="63.75">
      <c r="A34" s="347" t="s">
        <v>712</v>
      </c>
      <c r="B34" s="348" t="s">
        <v>1153</v>
      </c>
      <c r="C34" s="352" t="s">
        <v>2252</v>
      </c>
      <c r="D34" s="348" t="s">
        <v>2252</v>
      </c>
      <c r="E34" s="348" t="s">
        <v>1131</v>
      </c>
      <c r="F34" s="348" t="s">
        <v>712</v>
      </c>
      <c r="G34" s="348" t="s">
        <v>13577</v>
      </c>
      <c r="H34" s="349">
        <v>0</v>
      </c>
      <c r="I34" s="350" t="s">
        <v>1638</v>
      </c>
      <c r="J34" s="350" t="s">
        <v>1610</v>
      </c>
      <c r="K34" s="355"/>
      <c r="L34" s="355"/>
      <c r="M34" s="355"/>
      <c r="N34" s="355"/>
      <c r="O34" s="353"/>
      <c r="P34" s="351"/>
      <c r="Q34" s="354"/>
      <c r="R34" s="217" t="str">
        <f ca="1">IF(ISERROR($V34),"",OFFSET('Smelter Look-up'!$C$4,$V34-4,0)&amp;"")</f>
        <v>Kojima Chemicals Co., Ltd.</v>
      </c>
      <c r="S34" s="225" t="str">
        <f t="shared" ca="1" si="3"/>
        <v>JP</v>
      </c>
      <c r="T34" s="225" t="str">
        <f ca="1">IF(B34="","",IF(ISERROR(MATCH($J34,SorP!$B$1:$B$6230,0)),"",INDIRECT("'SorP'!$A$"&amp;MATCH($J34,SorP!$B$1:$B$6230,0))))</f>
        <v>JP-11</v>
      </c>
      <c r="U34" s="241"/>
      <c r="V34" s="275">
        <f>IF(C34="",NA(),MATCH($B34&amp;$C34,'Smelter Look-up'!$J:$J,0))</f>
        <v>128</v>
      </c>
      <c r="W34" s="276"/>
      <c r="X34" s="276">
        <f t="shared" si="4"/>
        <v>0</v>
      </c>
      <c r="Y34" s="276"/>
      <c r="Z34" s="276"/>
      <c r="AB34" s="278" t="str">
        <f t="shared" si="5"/>
        <v>GoldKojima Chemicals Co., Ltd.</v>
      </c>
    </row>
    <row r="35" spans="1:28" s="277" customFormat="1" ht="51">
      <c r="A35" s="347" t="s">
        <v>716</v>
      </c>
      <c r="B35" s="348" t="s">
        <v>1153</v>
      </c>
      <c r="C35" s="352" t="s">
        <v>58</v>
      </c>
      <c r="D35" s="348" t="s">
        <v>58</v>
      </c>
      <c r="E35" s="348" t="s">
        <v>1134</v>
      </c>
      <c r="F35" s="348" t="s">
        <v>716</v>
      </c>
      <c r="G35" s="348" t="s">
        <v>13577</v>
      </c>
      <c r="H35" s="349">
        <v>0</v>
      </c>
      <c r="I35" s="350" t="s">
        <v>1643</v>
      </c>
      <c r="J35" s="350" t="s">
        <v>13198</v>
      </c>
      <c r="K35" s="355"/>
      <c r="L35" s="355"/>
      <c r="M35" s="355"/>
      <c r="N35" s="355"/>
      <c r="O35" s="353"/>
      <c r="P35" s="351"/>
      <c r="Q35" s="354"/>
      <c r="R35" s="217" t="str">
        <f ca="1">IF(ISERROR($V35),"",OFFSET('Smelter Look-up'!$C$4,$V35-4,0)&amp;"")</f>
        <v>LS-NIKKO Copper Inc.</v>
      </c>
      <c r="S35" s="225" t="str">
        <f t="shared" ca="1" si="3"/>
        <v>KR</v>
      </c>
      <c r="T35" s="225" t="str">
        <f ca="1">IF(B35="","",IF(ISERROR(MATCH($J35,SorP!$B$1:$B$6230,0)),"",INDIRECT("'SorP'!$A$"&amp;MATCH($J35,SorP!$B$1:$B$6230,0))))</f>
        <v>KR-31</v>
      </c>
      <c r="U35" s="241"/>
      <c r="V35" s="275">
        <f>IF(C35="",NA(),MATCH($B35&amp;$C35,'Smelter Look-up'!$J:$J,0))</f>
        <v>143</v>
      </c>
      <c r="W35" s="276"/>
      <c r="X35" s="276">
        <f t="shared" si="4"/>
        <v>0</v>
      </c>
      <c r="Y35" s="276"/>
      <c r="Z35" s="276"/>
      <c r="AB35" s="278" t="str">
        <f t="shared" si="5"/>
        <v>GoldLS-NIKKO Copper Inc.</v>
      </c>
    </row>
    <row r="36" spans="1:28" s="277" customFormat="1" ht="25.5">
      <c r="A36" s="347" t="s">
        <v>719</v>
      </c>
      <c r="B36" s="348" t="s">
        <v>1153</v>
      </c>
      <c r="C36" s="352" t="s">
        <v>933</v>
      </c>
      <c r="D36" s="348" t="s">
        <v>933</v>
      </c>
      <c r="E36" s="348" t="s">
        <v>15517</v>
      </c>
      <c r="F36" s="348" t="s">
        <v>719</v>
      </c>
      <c r="G36" s="348" t="s">
        <v>13577</v>
      </c>
      <c r="H36" s="349">
        <v>0</v>
      </c>
      <c r="I36" s="350" t="s">
        <v>1646</v>
      </c>
      <c r="J36" s="350" t="s">
        <v>1647</v>
      </c>
      <c r="K36" s="355"/>
      <c r="L36" s="355"/>
      <c r="M36" s="355"/>
      <c r="N36" s="355"/>
      <c r="O36" s="353"/>
      <c r="P36" s="351"/>
      <c r="Q36" s="354"/>
      <c r="R36" s="217" t="str">
        <f ca="1">IF(ISERROR($V36),"",OFFSET('Smelter Look-up'!$C$4,$V36-4,0)&amp;"")</f>
        <v>Materion</v>
      </c>
      <c r="S36" s="225" t="str">
        <f t="shared" ca="1" si="3"/>
        <v>Unknown</v>
      </c>
      <c r="T36" s="225" t="str">
        <f ca="1">IF(B36="","",IF(ISERROR(MATCH($J36,SorP!$B$1:$B$6230,0)),"",INDIRECT("'SorP'!$A$"&amp;MATCH($J36,SorP!$B$1:$B$6230,0))))</f>
        <v>US-NY</v>
      </c>
      <c r="U36" s="241"/>
      <c r="V36" s="275">
        <f>IF(C36="",NA(),MATCH($B36&amp;$C36,'Smelter Look-up'!$J:$J,0))</f>
        <v>149</v>
      </c>
      <c r="W36" s="276"/>
      <c r="X36" s="276">
        <f t="shared" si="4"/>
        <v>0</v>
      </c>
      <c r="Y36" s="276"/>
      <c r="Z36" s="276"/>
      <c r="AB36" s="278" t="str">
        <f t="shared" si="5"/>
        <v>GoldMaterion</v>
      </c>
    </row>
    <row r="37" spans="1:28" s="277" customFormat="1" ht="51">
      <c r="A37" s="347" t="s">
        <v>720</v>
      </c>
      <c r="B37" s="348" t="s">
        <v>1153</v>
      </c>
      <c r="C37" s="352" t="s">
        <v>59</v>
      </c>
      <c r="D37" s="348" t="s">
        <v>59</v>
      </c>
      <c r="E37" s="348" t="s">
        <v>1131</v>
      </c>
      <c r="F37" s="348" t="s">
        <v>720</v>
      </c>
      <c r="G37" s="348" t="s">
        <v>13577</v>
      </c>
      <c r="H37" s="349">
        <v>0</v>
      </c>
      <c r="I37" s="350" t="s">
        <v>1648</v>
      </c>
      <c r="J37" s="350" t="s">
        <v>1610</v>
      </c>
      <c r="K37" s="355"/>
      <c r="L37" s="355"/>
      <c r="M37" s="355"/>
      <c r="N37" s="355"/>
      <c r="O37" s="353"/>
      <c r="P37" s="351"/>
      <c r="Q37" s="354"/>
      <c r="R37" s="217" t="str">
        <f ca="1">IF(ISERROR($V37),"",OFFSET('Smelter Look-up'!$C$4,$V37-4,0)&amp;"")</f>
        <v>Matsuda Sangyo Co., Ltd.</v>
      </c>
      <c r="S37" s="225" t="str">
        <f t="shared" ca="1" si="3"/>
        <v>JP</v>
      </c>
      <c r="T37" s="225" t="str">
        <f ca="1">IF(B37="","",IF(ISERROR(MATCH($J37,SorP!$B$1:$B$6230,0)),"",INDIRECT("'SorP'!$A$"&amp;MATCH($J37,SorP!$B$1:$B$6230,0))))</f>
        <v>JP-11</v>
      </c>
      <c r="U37" s="241"/>
      <c r="V37" s="275">
        <f>IF(C37="",NA(),MATCH($B37&amp;$C37,'Smelter Look-up'!$J:$J,0))</f>
        <v>150</v>
      </c>
      <c r="W37" s="276"/>
      <c r="X37" s="276">
        <f t="shared" si="4"/>
        <v>0</v>
      </c>
      <c r="Y37" s="276"/>
      <c r="Z37" s="276"/>
      <c r="AB37" s="278" t="str">
        <f t="shared" si="5"/>
        <v>GoldMatsuda Sangyo Co., Ltd.</v>
      </c>
    </row>
    <row r="38" spans="1:28" s="277" customFormat="1" ht="89.25">
      <c r="A38" s="347" t="s">
        <v>721</v>
      </c>
      <c r="B38" s="348" t="s">
        <v>1153</v>
      </c>
      <c r="C38" s="352" t="s">
        <v>2255</v>
      </c>
      <c r="D38" s="348" t="s">
        <v>2255</v>
      </c>
      <c r="E38" s="348" t="s">
        <v>1123</v>
      </c>
      <c r="F38" s="348" t="s">
        <v>721</v>
      </c>
      <c r="G38" s="348" t="s">
        <v>13577</v>
      </c>
      <c r="H38" s="349">
        <v>0</v>
      </c>
      <c r="I38" s="350" t="s">
        <v>1651</v>
      </c>
      <c r="J38" s="350" t="s">
        <v>15514</v>
      </c>
      <c r="K38" s="355"/>
      <c r="L38" s="355"/>
      <c r="M38" s="355"/>
      <c r="N38" s="355"/>
      <c r="O38" s="353"/>
      <c r="P38" s="351"/>
      <c r="Q38" s="354"/>
      <c r="R38" s="217" t="str">
        <f ca="1">IF(ISERROR($V38),"",OFFSET('Smelter Look-up'!$C$4,$V38-4,0)&amp;"")</f>
        <v>Metalor Technologies (Hong Kong) Ltd.</v>
      </c>
      <c r="S38" s="225" t="str">
        <f t="shared" ref="S38:S68" ca="1" si="6">IF(B38="","",IF(ISERROR(MATCH($E38,CL,0)),"Unknown",INDIRECT("'C'!$A$"&amp;MATCH($E38,CL,0)+1)))</f>
        <v>CN</v>
      </c>
      <c r="T38" s="225" t="str">
        <f ca="1">IF(B38="","",IF(ISERROR(MATCH($J38,SorP!$B$1:$B$6230,0)),"",INDIRECT("'SorP'!$A$"&amp;MATCH($J38,SorP!$B$1:$B$6230,0))))</f>
        <v/>
      </c>
      <c r="U38" s="241"/>
      <c r="V38" s="275">
        <f>IF(C38="",NA(),MATCH($B38&amp;$C38,'Smelter Look-up'!$J:$J,0))</f>
        <v>155</v>
      </c>
      <c r="W38" s="276"/>
      <c r="X38" s="276">
        <f t="shared" ref="X38:X68" si="7">IF(AND(C38="Smelter not listed",OR(LEN(D38)=0,LEN(E38)=0)),1,0)</f>
        <v>0</v>
      </c>
      <c r="Y38" s="276"/>
      <c r="Z38" s="276"/>
      <c r="AB38" s="278" t="str">
        <f t="shared" ref="AB38:AB68" si="8">B38&amp;C38</f>
        <v>GoldMetalor Technologies (Hong Kong) Ltd.</v>
      </c>
    </row>
    <row r="39" spans="1:28" s="277" customFormat="1" ht="89.25">
      <c r="A39" s="347" t="s">
        <v>722</v>
      </c>
      <c r="B39" s="348" t="s">
        <v>1153</v>
      </c>
      <c r="C39" s="352" t="s">
        <v>2256</v>
      </c>
      <c r="D39" s="348" t="s">
        <v>2256</v>
      </c>
      <c r="E39" s="348" t="s">
        <v>909</v>
      </c>
      <c r="F39" s="348" t="s">
        <v>722</v>
      </c>
      <c r="G39" s="348" t="s">
        <v>13577</v>
      </c>
      <c r="H39" s="349">
        <v>0</v>
      </c>
      <c r="I39" s="350" t="s">
        <v>13053</v>
      </c>
      <c r="J39" s="350" t="s">
        <v>10620</v>
      </c>
      <c r="K39" s="355"/>
      <c r="L39" s="355"/>
      <c r="M39" s="355"/>
      <c r="N39" s="355"/>
      <c r="O39" s="353"/>
      <c r="P39" s="351"/>
      <c r="Q39" s="354"/>
      <c r="R39" s="217" t="str">
        <f ca="1">IF(ISERROR($V39),"",OFFSET('Smelter Look-up'!$C$4,$V39-4,0)&amp;"")</f>
        <v>Metalor Technologies (Singapore) Pte., Ltd.</v>
      </c>
      <c r="S39" s="225" t="str">
        <f t="shared" ca="1" si="6"/>
        <v>SG</v>
      </c>
      <c r="T39" s="225" t="str">
        <f ca="1">IF(B39="","",IF(ISERROR(MATCH($J39,SorP!$B$1:$B$6230,0)),"",INDIRECT("'SorP'!$A$"&amp;MATCH($J39,SorP!$B$1:$B$6230,0))))</f>
        <v>SG-05</v>
      </c>
      <c r="U39" s="241"/>
      <c r="V39" s="275">
        <f>IF(C39="",NA(),MATCH($B39&amp;$C39,'Smelter Look-up'!$J:$J,0))</f>
        <v>156</v>
      </c>
      <c r="W39" s="276"/>
      <c r="X39" s="276">
        <f t="shared" si="7"/>
        <v>0</v>
      </c>
      <c r="Y39" s="276"/>
      <c r="Z39" s="276"/>
      <c r="AB39" s="278" t="str">
        <f t="shared" si="8"/>
        <v>GoldMetalor Technologies (Singapore) Pte., Ltd.</v>
      </c>
    </row>
    <row r="40" spans="1:28" s="277" customFormat="1" ht="63.75">
      <c r="A40" s="347" t="s">
        <v>723</v>
      </c>
      <c r="B40" s="348" t="s">
        <v>1153</v>
      </c>
      <c r="C40" s="352" t="s">
        <v>2431</v>
      </c>
      <c r="D40" s="348" t="s">
        <v>2431</v>
      </c>
      <c r="E40" s="348" t="s">
        <v>1121</v>
      </c>
      <c r="F40" s="348" t="s">
        <v>723</v>
      </c>
      <c r="G40" s="348" t="s">
        <v>13577</v>
      </c>
      <c r="H40" s="349">
        <v>0</v>
      </c>
      <c r="I40" s="350" t="s">
        <v>1652</v>
      </c>
      <c r="J40" s="350" t="s">
        <v>1653</v>
      </c>
      <c r="K40" s="355"/>
      <c r="L40" s="355"/>
      <c r="M40" s="355"/>
      <c r="N40" s="355"/>
      <c r="O40" s="353"/>
      <c r="P40" s="351"/>
      <c r="Q40" s="354"/>
      <c r="R40" s="217" t="str">
        <f ca="1">IF(ISERROR($V40),"",OFFSET('Smelter Look-up'!$C$4,$V40-4,0)&amp;"")</f>
        <v>Metalor Technologies S.A.</v>
      </c>
      <c r="S40" s="225" t="str">
        <f t="shared" ca="1" si="6"/>
        <v>CH</v>
      </c>
      <c r="T40" s="225" t="str">
        <f ca="1">IF(B40="","",IF(ISERROR(MATCH($J40,SorP!$B$1:$B$6230,0)),"",INDIRECT("'SorP'!$A$"&amp;MATCH($J40,SorP!$B$1:$B$6230,0))))</f>
        <v>CH-NE</v>
      </c>
      <c r="U40" s="241"/>
      <c r="V40" s="275">
        <f>IF(C40="",NA(),MATCH($B40&amp;$C40,'Smelter Look-up'!$J:$J,0))</f>
        <v>158</v>
      </c>
      <c r="W40" s="276"/>
      <c r="X40" s="276">
        <f t="shared" si="7"/>
        <v>0</v>
      </c>
      <c r="Y40" s="276"/>
      <c r="Z40" s="276"/>
      <c r="AB40" s="278" t="str">
        <f t="shared" si="8"/>
        <v>GoldMetalor Technologies S.A.</v>
      </c>
    </row>
    <row r="41" spans="1:28" s="277" customFormat="1" ht="63.75">
      <c r="A41" s="347" t="s">
        <v>724</v>
      </c>
      <c r="B41" s="348" t="s">
        <v>1153</v>
      </c>
      <c r="C41" s="352" t="s">
        <v>1252</v>
      </c>
      <c r="D41" s="348" t="s">
        <v>1252</v>
      </c>
      <c r="E41" s="348" t="s">
        <v>15517</v>
      </c>
      <c r="F41" s="348" t="s">
        <v>724</v>
      </c>
      <c r="G41" s="348" t="s">
        <v>13577</v>
      </c>
      <c r="H41" s="349">
        <v>0</v>
      </c>
      <c r="I41" s="350" t="s">
        <v>1654</v>
      </c>
      <c r="J41" s="350" t="s">
        <v>1655</v>
      </c>
      <c r="K41" s="355"/>
      <c r="L41" s="355"/>
      <c r="M41" s="355"/>
      <c r="N41" s="355"/>
      <c r="O41" s="353"/>
      <c r="P41" s="351"/>
      <c r="Q41" s="354"/>
      <c r="R41" s="217" t="str">
        <f ca="1">IF(ISERROR($V41),"",OFFSET('Smelter Look-up'!$C$4,$V41-4,0)&amp;"")</f>
        <v>Metalor USA Refining Corporation</v>
      </c>
      <c r="S41" s="225" t="str">
        <f t="shared" ca="1" si="6"/>
        <v>Unknown</v>
      </c>
      <c r="T41" s="225" t="str">
        <f ca="1">IF(B41="","",IF(ISERROR(MATCH($J41,SorP!$B$1:$B$6230,0)),"",INDIRECT("'SorP'!$A$"&amp;MATCH($J41,SorP!$B$1:$B$6230,0))))</f>
        <v>US-MA</v>
      </c>
      <c r="U41" s="241"/>
      <c r="V41" s="275">
        <f>IF(C41="",NA(),MATCH($B41&amp;$C41,'Smelter Look-up'!$J:$J,0))</f>
        <v>159</v>
      </c>
      <c r="W41" s="276"/>
      <c r="X41" s="276">
        <f t="shared" si="7"/>
        <v>0</v>
      </c>
      <c r="Y41" s="276"/>
      <c r="Z41" s="276"/>
      <c r="AB41" s="278" t="str">
        <f t="shared" si="8"/>
        <v>GoldMetalor USA Refining Corporation</v>
      </c>
    </row>
    <row r="42" spans="1:28" s="277" customFormat="1" ht="76.5">
      <c r="A42" s="347" t="s">
        <v>725</v>
      </c>
      <c r="B42" s="348" t="s">
        <v>1153</v>
      </c>
      <c r="C42" s="352" t="s">
        <v>2433</v>
      </c>
      <c r="D42" s="348" t="s">
        <v>2433</v>
      </c>
      <c r="E42" s="348" t="s">
        <v>1136</v>
      </c>
      <c r="F42" s="348" t="s">
        <v>725</v>
      </c>
      <c r="G42" s="348" t="s">
        <v>13577</v>
      </c>
      <c r="H42" s="349">
        <v>0</v>
      </c>
      <c r="I42" s="350" t="s">
        <v>1656</v>
      </c>
      <c r="J42" s="350" t="s">
        <v>13216</v>
      </c>
      <c r="K42" s="355"/>
      <c r="L42" s="355"/>
      <c r="M42" s="355"/>
      <c r="N42" s="355"/>
      <c r="O42" s="353"/>
      <c r="P42" s="351"/>
      <c r="Q42" s="354"/>
      <c r="R42" s="217" t="str">
        <f ca="1">IF(ISERROR($V42),"",OFFSET('Smelter Look-up'!$C$4,$V42-4,0)&amp;"")</f>
        <v>Metalurgica Met-Mex Penoles S.A. De C.V.</v>
      </c>
      <c r="S42" s="225" t="str">
        <f t="shared" ca="1" si="6"/>
        <v>MX</v>
      </c>
      <c r="T42" s="225" t="str">
        <f ca="1">IF(B42="","",IF(ISERROR(MATCH($J42,SorP!$B$1:$B$6230,0)),"",INDIRECT("'SorP'!$A$"&amp;MATCH($J42,SorP!$B$1:$B$6230,0))))</f>
        <v>MX-COA</v>
      </c>
      <c r="U42" s="241"/>
      <c r="V42" s="275">
        <f>IF(C42="",NA(),MATCH($B42&amp;$C42,'Smelter Look-up'!$J:$J,0))</f>
        <v>161</v>
      </c>
      <c r="W42" s="276"/>
      <c r="X42" s="276">
        <f t="shared" si="7"/>
        <v>0</v>
      </c>
      <c r="Y42" s="276"/>
      <c r="Z42" s="276"/>
      <c r="AB42" s="278" t="str">
        <f t="shared" si="8"/>
        <v>GoldMetalúrgica Met-Mex Peñoles S.A. De C.V.</v>
      </c>
    </row>
    <row r="43" spans="1:28" s="277" customFormat="1" ht="76.5">
      <c r="A43" s="347" t="s">
        <v>726</v>
      </c>
      <c r="B43" s="348" t="s">
        <v>1153</v>
      </c>
      <c r="C43" s="352" t="s">
        <v>1187</v>
      </c>
      <c r="D43" s="348" t="s">
        <v>1187</v>
      </c>
      <c r="E43" s="348" t="s">
        <v>1131</v>
      </c>
      <c r="F43" s="348" t="s">
        <v>726</v>
      </c>
      <c r="G43" s="348" t="s">
        <v>13577</v>
      </c>
      <c r="H43" s="349">
        <v>0</v>
      </c>
      <c r="I43" s="350" t="s">
        <v>1657</v>
      </c>
      <c r="J43" s="350" t="s">
        <v>2322</v>
      </c>
      <c r="K43" s="355"/>
      <c r="L43" s="355"/>
      <c r="M43" s="355"/>
      <c r="N43" s="355"/>
      <c r="O43" s="353"/>
      <c r="P43" s="351"/>
      <c r="Q43" s="354"/>
      <c r="R43" s="217" t="str">
        <f ca="1">IF(ISERROR($V43),"",OFFSET('Smelter Look-up'!$C$4,$V43-4,0)&amp;"")</f>
        <v>Mitsubishi Materials Corporation</v>
      </c>
      <c r="S43" s="225" t="str">
        <f t="shared" ca="1" si="6"/>
        <v>JP</v>
      </c>
      <c r="T43" s="225" t="str">
        <f ca="1">IF(B43="","",IF(ISERROR(MATCH($J43,SorP!$B$1:$B$6230,0)),"",INDIRECT("'SorP'!$A$"&amp;MATCH($J43,SorP!$B$1:$B$6230,0))))</f>
        <v>JP-37</v>
      </c>
      <c r="U43" s="241"/>
      <c r="V43" s="275">
        <f>IF(C43="",NA(),MATCH($B43&amp;$C43,'Smelter Look-up'!$J:$J,0))</f>
        <v>164</v>
      </c>
      <c r="W43" s="276"/>
      <c r="X43" s="276">
        <f t="shared" si="7"/>
        <v>0</v>
      </c>
      <c r="Y43" s="276"/>
      <c r="Z43" s="276"/>
      <c r="AB43" s="278" t="str">
        <f t="shared" si="8"/>
        <v>GoldMitsubishi Materials Corporation</v>
      </c>
    </row>
    <row r="44" spans="1:28" s="277" customFormat="1" ht="63.75">
      <c r="A44" s="347" t="s">
        <v>727</v>
      </c>
      <c r="B44" s="348" t="s">
        <v>1153</v>
      </c>
      <c r="C44" s="352" t="s">
        <v>1253</v>
      </c>
      <c r="D44" s="348" t="s">
        <v>1253</v>
      </c>
      <c r="E44" s="348" t="s">
        <v>1131</v>
      </c>
      <c r="F44" s="348" t="s">
        <v>727</v>
      </c>
      <c r="G44" s="348" t="s">
        <v>13577</v>
      </c>
      <c r="H44" s="349">
        <v>0</v>
      </c>
      <c r="I44" s="350" t="s">
        <v>1659</v>
      </c>
      <c r="J44" s="350" t="s">
        <v>1658</v>
      </c>
      <c r="K44" s="355"/>
      <c r="L44" s="355"/>
      <c r="M44" s="355"/>
      <c r="N44" s="355"/>
      <c r="O44" s="353"/>
      <c r="P44" s="351"/>
      <c r="Q44" s="354"/>
      <c r="R44" s="217" t="str">
        <f ca="1">IF(ISERROR($V44),"",OFFSET('Smelter Look-up'!$C$4,$V44-4,0)&amp;"")</f>
        <v>Mitsui Mining and Smelting Co., Ltd.</v>
      </c>
      <c r="S44" s="225" t="str">
        <f t="shared" ca="1" si="6"/>
        <v>JP</v>
      </c>
      <c r="T44" s="225" t="str">
        <f ca="1">IF(B44="","",IF(ISERROR(MATCH($J44,SorP!$B$1:$B$6230,0)),"",INDIRECT("'SorP'!$A$"&amp;MATCH($J44,SorP!$B$1:$B$6230,0))))</f>
        <v>JP-34</v>
      </c>
      <c r="U44" s="241"/>
      <c r="V44" s="275">
        <f>IF(C44="",NA(),MATCH($B44&amp;$C44,'Smelter Look-up'!$J:$J,0))</f>
        <v>166</v>
      </c>
      <c r="W44" s="276"/>
      <c r="X44" s="276">
        <f t="shared" si="7"/>
        <v>0</v>
      </c>
      <c r="Y44" s="276"/>
      <c r="Z44" s="276"/>
      <c r="AB44" s="278" t="str">
        <f t="shared" si="8"/>
        <v>GoldMitsui Mining and Smelting Co., Ltd.</v>
      </c>
    </row>
    <row r="45" spans="1:28" s="277" customFormat="1" ht="76.5">
      <c r="A45" s="347" t="s">
        <v>728</v>
      </c>
      <c r="B45" s="348" t="s">
        <v>1153</v>
      </c>
      <c r="C45" s="352" t="s">
        <v>934</v>
      </c>
      <c r="D45" s="348" t="s">
        <v>934</v>
      </c>
      <c r="E45" s="348" t="s">
        <v>906</v>
      </c>
      <c r="F45" s="348" t="s">
        <v>728</v>
      </c>
      <c r="G45" s="348" t="s">
        <v>13577</v>
      </c>
      <c r="H45" s="349">
        <v>0</v>
      </c>
      <c r="I45" s="350" t="s">
        <v>1661</v>
      </c>
      <c r="J45" s="350" t="s">
        <v>10217</v>
      </c>
      <c r="K45" s="355"/>
      <c r="L45" s="355"/>
      <c r="M45" s="355"/>
      <c r="N45" s="355"/>
      <c r="O45" s="353"/>
      <c r="P45" s="351"/>
      <c r="Q45" s="354"/>
      <c r="R45" s="217" t="str">
        <f ca="1">IF(ISERROR($V45),"",OFFSET('Smelter Look-up'!$C$4,$V45-4,0)&amp;"")</f>
        <v>Moscow Special Alloys Processing Plant</v>
      </c>
      <c r="S45" s="225" t="str">
        <f t="shared" ca="1" si="6"/>
        <v>RU</v>
      </c>
      <c r="T45" s="225" t="str">
        <f ca="1">IF(B45="","",IF(ISERROR(MATCH($J45,SorP!$B$1:$B$6230,0)),"",INDIRECT("'SorP'!$A$"&amp;MATCH($J45,SorP!$B$1:$B$6230,0))))</f>
        <v>RU-MOW</v>
      </c>
      <c r="U45" s="241"/>
      <c r="V45" s="275">
        <f>IF(C45="",NA(),MATCH($B45&amp;$C45,'Smelter Look-up'!$J:$J,0))</f>
        <v>170</v>
      </c>
      <c r="W45" s="276"/>
      <c r="X45" s="276">
        <f t="shared" si="7"/>
        <v>0</v>
      </c>
      <c r="Y45" s="276"/>
      <c r="Z45" s="276"/>
      <c r="AB45" s="278" t="str">
        <f t="shared" si="8"/>
        <v>GoldMoscow Special Alloys Processing Plant</v>
      </c>
    </row>
    <row r="46" spans="1:28" s="277" customFormat="1" ht="51">
      <c r="A46" s="347" t="s">
        <v>731</v>
      </c>
      <c r="B46" s="348" t="s">
        <v>1153</v>
      </c>
      <c r="C46" s="352" t="s">
        <v>2259</v>
      </c>
      <c r="D46" s="348" t="s">
        <v>2259</v>
      </c>
      <c r="E46" s="348" t="s">
        <v>1131</v>
      </c>
      <c r="F46" s="348" t="s">
        <v>731</v>
      </c>
      <c r="G46" s="348" t="s">
        <v>13577</v>
      </c>
      <c r="H46" s="349">
        <v>0</v>
      </c>
      <c r="I46" s="350" t="s">
        <v>1664</v>
      </c>
      <c r="J46" s="350" t="s">
        <v>1665</v>
      </c>
      <c r="K46" s="355"/>
      <c r="L46" s="355"/>
      <c r="M46" s="355"/>
      <c r="N46" s="355"/>
      <c r="O46" s="353"/>
      <c r="P46" s="351"/>
      <c r="Q46" s="354"/>
      <c r="R46" s="217" t="str">
        <f ca="1">IF(ISERROR($V46),"",OFFSET('Smelter Look-up'!$C$4,$V46-4,0)&amp;"")</f>
        <v>Nihon Material Co., Ltd.</v>
      </c>
      <c r="S46" s="225" t="str">
        <f t="shared" ca="1" si="6"/>
        <v>JP</v>
      </c>
      <c r="T46" s="225" t="str">
        <f ca="1">IF(B46="","",IF(ISERROR(MATCH($J46,SorP!$B$1:$B$6230,0)),"",INDIRECT("'SorP'!$A$"&amp;MATCH($J46,SorP!$B$1:$B$6230,0))))</f>
        <v>JP-12</v>
      </c>
      <c r="U46" s="241"/>
      <c r="V46" s="275">
        <f>IF(C46="",NA(),MATCH($B46&amp;$C46,'Smelter Look-up'!$J:$J,0))</f>
        <v>175</v>
      </c>
      <c r="W46" s="276"/>
      <c r="X46" s="276">
        <f t="shared" si="7"/>
        <v>0</v>
      </c>
      <c r="Y46" s="276"/>
      <c r="Z46" s="276"/>
      <c r="AB46" s="278" t="str">
        <f t="shared" si="8"/>
        <v>GoldNihon Material Co., Ltd.</v>
      </c>
    </row>
    <row r="47" spans="1:28" s="277" customFormat="1" ht="76.5">
      <c r="A47" s="347" t="s">
        <v>732</v>
      </c>
      <c r="B47" s="348" t="s">
        <v>1153</v>
      </c>
      <c r="C47" s="352" t="s">
        <v>2260</v>
      </c>
      <c r="D47" s="348" t="s">
        <v>2260</v>
      </c>
      <c r="E47" s="348" t="s">
        <v>1131</v>
      </c>
      <c r="F47" s="348" t="s">
        <v>732</v>
      </c>
      <c r="G47" s="348" t="s">
        <v>13577</v>
      </c>
      <c r="H47" s="349">
        <v>0</v>
      </c>
      <c r="I47" s="350" t="s">
        <v>1667</v>
      </c>
      <c r="J47" s="350" t="s">
        <v>1668</v>
      </c>
      <c r="K47" s="355"/>
      <c r="L47" s="355"/>
      <c r="M47" s="355"/>
      <c r="N47" s="355"/>
      <c r="O47" s="353"/>
      <c r="P47" s="351"/>
      <c r="Q47" s="354"/>
      <c r="R47" s="217" t="str">
        <f ca="1">IF(ISERROR($V47),"",OFFSET('Smelter Look-up'!$C$4,$V47-4,0)&amp;"")</f>
        <v>Ohura Precious Metal Industry Co., Ltd.</v>
      </c>
      <c r="S47" s="225" t="str">
        <f t="shared" ca="1" si="6"/>
        <v>JP</v>
      </c>
      <c r="T47" s="225" t="str">
        <f ca="1">IF(B47="","",IF(ISERROR(MATCH($J47,SorP!$B$1:$B$6230,0)),"",INDIRECT("'SorP'!$A$"&amp;MATCH($J47,SorP!$B$1:$B$6230,0))))</f>
        <v>JP-29</v>
      </c>
      <c r="U47" s="241"/>
      <c r="V47" s="275">
        <f>IF(C47="",NA(),MATCH($B47&amp;$C47,'Smelter Look-up'!$J:$J,0))</f>
        <v>180</v>
      </c>
      <c r="W47" s="276"/>
      <c r="X47" s="276">
        <f t="shared" si="7"/>
        <v>0</v>
      </c>
      <c r="Y47" s="276"/>
      <c r="Z47" s="276"/>
      <c r="AB47" s="278" t="str">
        <f t="shared" si="8"/>
        <v>GoldOhura Precious Metal Industry Co., Ltd.</v>
      </c>
    </row>
    <row r="48" spans="1:28" s="277" customFormat="1" ht="25.5">
      <c r="A48" s="347" t="s">
        <v>734</v>
      </c>
      <c r="B48" s="348" t="s">
        <v>1153</v>
      </c>
      <c r="C48" s="352" t="s">
        <v>2439</v>
      </c>
      <c r="D48" s="348" t="s">
        <v>2439</v>
      </c>
      <c r="E48" s="348" t="s">
        <v>1121</v>
      </c>
      <c r="F48" s="348" t="s">
        <v>734</v>
      </c>
      <c r="G48" s="348" t="s">
        <v>13577</v>
      </c>
      <c r="H48" s="349">
        <v>0</v>
      </c>
      <c r="I48" s="350" t="s">
        <v>1671</v>
      </c>
      <c r="J48" s="350" t="s">
        <v>1579</v>
      </c>
      <c r="K48" s="355"/>
      <c r="L48" s="355"/>
      <c r="M48" s="355"/>
      <c r="N48" s="355"/>
      <c r="O48" s="353"/>
      <c r="P48" s="351"/>
      <c r="Q48" s="354"/>
      <c r="R48" s="217" t="str">
        <f ca="1">IF(ISERROR($V48),"",OFFSET('Smelter Look-up'!$C$4,$V48-4,0)&amp;"")</f>
        <v>PAMP S.A.</v>
      </c>
      <c r="S48" s="225" t="str">
        <f t="shared" ca="1" si="6"/>
        <v>CH</v>
      </c>
      <c r="T48" s="225" t="str">
        <f ca="1">IF(B48="","",IF(ISERROR(MATCH($J48,SorP!$B$1:$B$6230,0)),"",INDIRECT("'SorP'!$A$"&amp;MATCH($J48,SorP!$B$1:$B$6230,0))))</f>
        <v>CH-TI</v>
      </c>
      <c r="U48" s="241"/>
      <c r="V48" s="275">
        <f>IF(C48="",NA(),MATCH($B48&amp;$C48,'Smelter Look-up'!$J:$J,0))</f>
        <v>184</v>
      </c>
      <c r="W48" s="276"/>
      <c r="X48" s="276">
        <f t="shared" si="7"/>
        <v>0</v>
      </c>
      <c r="Y48" s="276"/>
      <c r="Z48" s="276"/>
      <c r="AB48" s="278" t="str">
        <f t="shared" si="8"/>
        <v>GoldPAMP S.A.</v>
      </c>
    </row>
    <row r="49" spans="1:28" s="277" customFormat="1" ht="76.5">
      <c r="A49" s="347" t="s">
        <v>736</v>
      </c>
      <c r="B49" s="348" t="s">
        <v>1153</v>
      </c>
      <c r="C49" s="352" t="s">
        <v>935</v>
      </c>
      <c r="D49" s="348" t="s">
        <v>935</v>
      </c>
      <c r="E49" s="348" t="s">
        <v>906</v>
      </c>
      <c r="F49" s="348" t="s">
        <v>736</v>
      </c>
      <c r="G49" s="348" t="s">
        <v>13577</v>
      </c>
      <c r="H49" s="349">
        <v>0</v>
      </c>
      <c r="I49" s="350" t="s">
        <v>1672</v>
      </c>
      <c r="J49" s="350" t="s">
        <v>10220</v>
      </c>
      <c r="K49" s="355"/>
      <c r="L49" s="355"/>
      <c r="M49" s="355"/>
      <c r="N49" s="355"/>
      <c r="O49" s="353"/>
      <c r="P49" s="351"/>
      <c r="Q49" s="354"/>
      <c r="R49" s="217" t="str">
        <f ca="1">IF(ISERROR($V49),"",OFFSET('Smelter Look-up'!$C$4,$V49-4,0)&amp;"")</f>
        <v>Prioksky Plant of Non-Ferrous Metals</v>
      </c>
      <c r="S49" s="225" t="str">
        <f t="shared" ca="1" si="6"/>
        <v>RU</v>
      </c>
      <c r="T49" s="225" t="str">
        <f ca="1">IF(B49="","",IF(ISERROR(MATCH($J49,SorP!$B$1:$B$6230,0)),"",INDIRECT("'SorP'!$A$"&amp;MATCH($J49,SorP!$B$1:$B$6230,0))))</f>
        <v>RU-RYA</v>
      </c>
      <c r="U49" s="241"/>
      <c r="V49" s="275">
        <f>IF(C49="",NA(),MATCH($B49&amp;$C49,'Smelter Look-up'!$J:$J,0))</f>
        <v>191</v>
      </c>
      <c r="W49" s="276"/>
      <c r="X49" s="276">
        <f t="shared" si="7"/>
        <v>0</v>
      </c>
      <c r="Y49" s="276"/>
      <c r="Z49" s="276"/>
      <c r="AB49" s="278" t="str">
        <f t="shared" si="8"/>
        <v>GoldPrioksky Plant of Non-Ferrous Metals</v>
      </c>
    </row>
    <row r="50" spans="1:28" s="277" customFormat="1" ht="76.5">
      <c r="A50" s="347" t="s">
        <v>737</v>
      </c>
      <c r="B50" s="348" t="s">
        <v>1153</v>
      </c>
      <c r="C50" s="352" t="s">
        <v>1255</v>
      </c>
      <c r="D50" s="348" t="s">
        <v>1255</v>
      </c>
      <c r="E50" s="348" t="s">
        <v>1128</v>
      </c>
      <c r="F50" s="348" t="s">
        <v>737</v>
      </c>
      <c r="G50" s="348" t="s">
        <v>13577</v>
      </c>
      <c r="H50" s="349">
        <v>0</v>
      </c>
      <c r="I50" s="350" t="s">
        <v>1673</v>
      </c>
      <c r="J50" s="350" t="s">
        <v>6188</v>
      </c>
      <c r="K50" s="355"/>
      <c r="L50" s="355"/>
      <c r="M50" s="355"/>
      <c r="N50" s="355"/>
      <c r="O50" s="353"/>
      <c r="P50" s="351"/>
      <c r="Q50" s="354"/>
      <c r="R50" s="217" t="str">
        <f ca="1">IF(ISERROR($V50),"",OFFSET('Smelter Look-up'!$C$4,$V50-4,0)&amp;"")</f>
        <v>PT Aneka Tambang (Persero) Tbk</v>
      </c>
      <c r="S50" s="225" t="str">
        <f t="shared" ca="1" si="6"/>
        <v>ID</v>
      </c>
      <c r="T50" s="225" t="str">
        <f ca="1">IF(B50="","",IF(ISERROR(MATCH($J50,SorP!$B$1:$B$6230,0)),"",INDIRECT("'SorP'!$A$"&amp;MATCH($J50,SorP!$B$1:$B$6230,0))))</f>
        <v>ID-JK</v>
      </c>
      <c r="U50" s="241"/>
      <c r="V50" s="275">
        <f>IF(C50="",NA(),MATCH($B50&amp;$C50,'Smelter Look-up'!$J:$J,0))</f>
        <v>193</v>
      </c>
      <c r="W50" s="276"/>
      <c r="X50" s="276">
        <f t="shared" si="7"/>
        <v>0</v>
      </c>
      <c r="Y50" s="276"/>
      <c r="Z50" s="276"/>
      <c r="AB50" s="278" t="str">
        <f t="shared" si="8"/>
        <v>GoldPT Aneka Tambang (Persero) Tbk</v>
      </c>
    </row>
    <row r="51" spans="1:28" s="277" customFormat="1" ht="38.25">
      <c r="A51" s="347" t="s">
        <v>738</v>
      </c>
      <c r="B51" s="348" t="s">
        <v>1153</v>
      </c>
      <c r="C51" s="352" t="s">
        <v>2440</v>
      </c>
      <c r="D51" s="348" t="s">
        <v>2440</v>
      </c>
      <c r="E51" s="348" t="s">
        <v>1121</v>
      </c>
      <c r="F51" s="348" t="s">
        <v>738</v>
      </c>
      <c r="G51" s="348" t="s">
        <v>13577</v>
      </c>
      <c r="H51" s="349">
        <v>0</v>
      </c>
      <c r="I51" s="350" t="s">
        <v>1674</v>
      </c>
      <c r="J51" s="350" t="s">
        <v>1653</v>
      </c>
      <c r="K51" s="355"/>
      <c r="L51" s="355"/>
      <c r="M51" s="355"/>
      <c r="N51" s="355"/>
      <c r="O51" s="353"/>
      <c r="P51" s="351"/>
      <c r="Q51" s="354"/>
      <c r="R51" s="217" t="str">
        <f ca="1">IF(ISERROR($V51),"",OFFSET('Smelter Look-up'!$C$4,$V51-4,0)&amp;"")</f>
        <v>PX Precinox S.A.</v>
      </c>
      <c r="S51" s="225" t="str">
        <f t="shared" ca="1" si="6"/>
        <v>CH</v>
      </c>
      <c r="T51" s="225" t="str">
        <f ca="1">IF(B51="","",IF(ISERROR(MATCH($J51,SorP!$B$1:$B$6230,0)),"",INDIRECT("'SorP'!$A$"&amp;MATCH($J51,SorP!$B$1:$B$6230,0))))</f>
        <v>CH-NE</v>
      </c>
      <c r="U51" s="241"/>
      <c r="V51" s="275">
        <f>IF(C51="",NA(),MATCH($B51&amp;$C51,'Smelter Look-up'!$J:$J,0))</f>
        <v>195</v>
      </c>
      <c r="W51" s="276"/>
      <c r="X51" s="276">
        <f t="shared" si="7"/>
        <v>0</v>
      </c>
      <c r="Y51" s="276"/>
      <c r="Z51" s="276"/>
      <c r="AB51" s="278" t="str">
        <f t="shared" si="8"/>
        <v>GoldPX Précinox S.A.</v>
      </c>
    </row>
    <row r="52" spans="1:28" s="277" customFormat="1" ht="63.75">
      <c r="A52" s="347" t="s">
        <v>739</v>
      </c>
      <c r="B52" s="348" t="s">
        <v>1153</v>
      </c>
      <c r="C52" s="352" t="s">
        <v>2263</v>
      </c>
      <c r="D52" s="348" t="s">
        <v>2263</v>
      </c>
      <c r="E52" s="348" t="s">
        <v>916</v>
      </c>
      <c r="F52" s="348" t="s">
        <v>739</v>
      </c>
      <c r="G52" s="348" t="s">
        <v>13577</v>
      </c>
      <c r="H52" s="349">
        <v>0</v>
      </c>
      <c r="I52" s="350" t="s">
        <v>1675</v>
      </c>
      <c r="J52" s="350" t="s">
        <v>1676</v>
      </c>
      <c r="K52" s="355"/>
      <c r="L52" s="355"/>
      <c r="M52" s="355"/>
      <c r="N52" s="355"/>
      <c r="O52" s="353"/>
      <c r="P52" s="351"/>
      <c r="Q52" s="354"/>
      <c r="R52" s="217" t="str">
        <f ca="1">IF(ISERROR($V52),"",OFFSET('Smelter Look-up'!$C$4,$V52-4,0)&amp;"")</f>
        <v>Rand Refinery (Pty) Ltd.</v>
      </c>
      <c r="S52" s="225" t="str">
        <f t="shared" ca="1" si="6"/>
        <v>ZA</v>
      </c>
      <c r="T52" s="225" t="str">
        <f ca="1">IF(B52="","",IF(ISERROR(MATCH($J52,SorP!$B$1:$B$6230,0)),"",INDIRECT("'SorP'!$A$"&amp;MATCH($J52,SorP!$B$1:$B$6230,0))))</f>
        <v>ZA-GT</v>
      </c>
      <c r="U52" s="241"/>
      <c r="V52" s="275">
        <f>IF(C52="",NA(),MATCH($B52&amp;$C52,'Smelter Look-up'!$J:$J,0))</f>
        <v>197</v>
      </c>
      <c r="W52" s="276"/>
      <c r="X52" s="276">
        <f t="shared" si="7"/>
        <v>0</v>
      </c>
      <c r="Y52" s="276"/>
      <c r="Z52" s="276"/>
      <c r="AB52" s="278" t="str">
        <f t="shared" si="8"/>
        <v>GoldRand Refinery (Pty) Ltd.</v>
      </c>
    </row>
    <row r="53" spans="1:28" s="277" customFormat="1" ht="51">
      <c r="A53" s="347" t="s">
        <v>740</v>
      </c>
      <c r="B53" s="348" t="s">
        <v>1153</v>
      </c>
      <c r="C53" s="352" t="s">
        <v>936</v>
      </c>
      <c r="D53" s="348" t="s">
        <v>936</v>
      </c>
      <c r="E53" s="348" t="s">
        <v>1120</v>
      </c>
      <c r="F53" s="348" t="s">
        <v>740</v>
      </c>
      <c r="G53" s="348" t="s">
        <v>13577</v>
      </c>
      <c r="H53" s="349">
        <v>0</v>
      </c>
      <c r="I53" s="350" t="s">
        <v>1677</v>
      </c>
      <c r="J53" s="350" t="s">
        <v>1633</v>
      </c>
      <c r="K53" s="355"/>
      <c r="L53" s="355"/>
      <c r="M53" s="355"/>
      <c r="N53" s="355"/>
      <c r="O53" s="353"/>
      <c r="P53" s="351"/>
      <c r="Q53" s="354"/>
      <c r="R53" s="217" t="str">
        <f ca="1">IF(ISERROR($V53),"",OFFSET('Smelter Look-up'!$C$4,$V53-4,0)&amp;"")</f>
        <v>Royal Canadian Mint</v>
      </c>
      <c r="S53" s="225" t="str">
        <f t="shared" ca="1" si="6"/>
        <v>CA</v>
      </c>
      <c r="T53" s="225" t="str">
        <f ca="1">IF(B53="","",IF(ISERROR(MATCH($J53,SorP!$B$1:$B$6230,0)),"",INDIRECT("'SorP'!$A$"&amp;MATCH($J53,SorP!$B$1:$B$6230,0))))</f>
        <v>CA-ON</v>
      </c>
      <c r="U53" s="241"/>
      <c r="V53" s="275">
        <f>IF(C53="",NA(),MATCH($B53&amp;$C53,'Smelter Look-up'!$J:$J,0))</f>
        <v>202</v>
      </c>
      <c r="W53" s="276"/>
      <c r="X53" s="276">
        <f t="shared" si="7"/>
        <v>0</v>
      </c>
      <c r="Y53" s="276"/>
      <c r="Z53" s="276"/>
      <c r="AB53" s="278" t="str">
        <f t="shared" si="8"/>
        <v>GoldRoyal Canadian Mint</v>
      </c>
    </row>
    <row r="54" spans="1:28" s="277" customFormat="1" ht="63.75">
      <c r="A54" s="347" t="s">
        <v>743</v>
      </c>
      <c r="B54" s="348" t="s">
        <v>1153</v>
      </c>
      <c r="C54" s="352" t="s">
        <v>2450</v>
      </c>
      <c r="D54" s="348" t="s">
        <v>2450</v>
      </c>
      <c r="E54" s="348" t="s">
        <v>1125</v>
      </c>
      <c r="F54" s="348" t="s">
        <v>743</v>
      </c>
      <c r="G54" s="348" t="s">
        <v>13577</v>
      </c>
      <c r="H54" s="349">
        <v>0</v>
      </c>
      <c r="I54" s="350" t="s">
        <v>1683</v>
      </c>
      <c r="J54" s="350" t="s">
        <v>4834</v>
      </c>
      <c r="K54" s="355"/>
      <c r="L54" s="355"/>
      <c r="M54" s="355"/>
      <c r="N54" s="355"/>
      <c r="O54" s="353"/>
      <c r="P54" s="351"/>
      <c r="Q54" s="354"/>
      <c r="R54" s="217" t="str">
        <f ca="1">IF(ISERROR($V54),"",OFFSET('Smelter Look-up'!$C$4,$V54-4,0)&amp;"")</f>
        <v>SEMPSA Joyeria Plateria S.A.</v>
      </c>
      <c r="S54" s="225" t="str">
        <f t="shared" ca="1" si="6"/>
        <v>ES</v>
      </c>
      <c r="T54" s="225" t="str">
        <f ca="1">IF(B54="","",IF(ISERROR(MATCH($J54,SorP!$B$1:$B$6230,0)),"",INDIRECT("'SorP'!$A$"&amp;MATCH($J54,SorP!$B$1:$B$6230,0))))</f>
        <v>ES-MD</v>
      </c>
      <c r="U54" s="241"/>
      <c r="V54" s="275">
        <f>IF(C54="",NA(),MATCH($B54&amp;$C54,'Smelter Look-up'!$J:$J,0))</f>
        <v>215</v>
      </c>
      <c r="W54" s="276"/>
      <c r="X54" s="276">
        <f t="shared" si="7"/>
        <v>0</v>
      </c>
      <c r="Y54" s="276"/>
      <c r="Z54" s="276"/>
      <c r="AB54" s="278" t="str">
        <f t="shared" si="8"/>
        <v>GoldSEMPSA Joyería Platería S.A.</v>
      </c>
    </row>
    <row r="55" spans="1:28" s="277" customFormat="1" ht="89.25">
      <c r="A55" s="347" t="s">
        <v>744</v>
      </c>
      <c r="B55" s="348" t="s">
        <v>1153</v>
      </c>
      <c r="C55" s="352" t="s">
        <v>2265</v>
      </c>
      <c r="D55" s="348" t="s">
        <v>2265</v>
      </c>
      <c r="E55" s="348" t="s">
        <v>1123</v>
      </c>
      <c r="F55" s="348" t="s">
        <v>744</v>
      </c>
      <c r="G55" s="348" t="s">
        <v>13577</v>
      </c>
      <c r="H55" s="349">
        <v>0</v>
      </c>
      <c r="I55" s="350" t="s">
        <v>1615</v>
      </c>
      <c r="J55" s="350" t="s">
        <v>15518</v>
      </c>
      <c r="K55" s="355"/>
      <c r="L55" s="355"/>
      <c r="M55" s="355"/>
      <c r="N55" s="355"/>
      <c r="O55" s="353"/>
      <c r="P55" s="351"/>
      <c r="Q55" s="354"/>
      <c r="R55" s="217" t="str">
        <f ca="1">IF(ISERROR($V55),"",OFFSET('Smelter Look-up'!$C$4,$V55-4,0)&amp;"")</f>
        <v>Shandong Zhaojin Gold &amp; Silver Refinery Co., Ltd.</v>
      </c>
      <c r="S55" s="225" t="str">
        <f t="shared" ca="1" si="6"/>
        <v>CN</v>
      </c>
      <c r="T55" s="225" t="str">
        <f ca="1">IF(B55="","",IF(ISERROR(MATCH($J55,SorP!$B$1:$B$6230,0)),"",INDIRECT("'SorP'!$A$"&amp;MATCH($J55,SorP!$B$1:$B$6230,0))))</f>
        <v/>
      </c>
      <c r="U55" s="241"/>
      <c r="V55" s="275">
        <f>IF(C55="",NA(),MATCH($B55&amp;$C55,'Smelter Look-up'!$J:$J,0))</f>
        <v>223</v>
      </c>
      <c r="W55" s="276"/>
      <c r="X55" s="276">
        <f t="shared" si="7"/>
        <v>0</v>
      </c>
      <c r="Y55" s="276"/>
      <c r="Z55" s="276"/>
      <c r="AB55" s="278" t="str">
        <f t="shared" si="8"/>
        <v>GoldShandong Zhaojin Gold &amp; Silver Refinery Co., Ltd.</v>
      </c>
    </row>
    <row r="56" spans="1:28" s="277" customFormat="1" ht="114.75">
      <c r="A56" s="347" t="s">
        <v>745</v>
      </c>
      <c r="B56" s="348" t="s">
        <v>1153</v>
      </c>
      <c r="C56" s="352" t="s">
        <v>937</v>
      </c>
      <c r="D56" s="348" t="s">
        <v>937</v>
      </c>
      <c r="E56" s="348" t="s">
        <v>906</v>
      </c>
      <c r="F56" s="348" t="s">
        <v>745</v>
      </c>
      <c r="G56" s="348" t="s">
        <v>13577</v>
      </c>
      <c r="H56" s="349">
        <v>0</v>
      </c>
      <c r="I56" s="350" t="s">
        <v>1692</v>
      </c>
      <c r="J56" s="350" t="s">
        <v>10284</v>
      </c>
      <c r="K56" s="355"/>
      <c r="L56" s="355"/>
      <c r="M56" s="355"/>
      <c r="N56" s="355"/>
      <c r="O56" s="353"/>
      <c r="P56" s="351"/>
      <c r="Q56" s="354"/>
      <c r="R56" s="217" t="str">
        <f ca="1">IF(ISERROR($V56),"",OFFSET('Smelter Look-up'!$C$4,$V56-4,0)&amp;"")</f>
        <v>SOE Shyolkovsky Factory of Secondary Precious Metals</v>
      </c>
      <c r="S56" s="225" t="str">
        <f t="shared" ca="1" si="6"/>
        <v>RU</v>
      </c>
      <c r="T56" s="225" t="str">
        <f ca="1">IF(B56="","",IF(ISERROR(MATCH($J56,SorP!$B$1:$B$6230,0)),"",INDIRECT("'SorP'!$A$"&amp;MATCH($J56,SorP!$B$1:$B$6230,0))))</f>
        <v>RU-MOS</v>
      </c>
      <c r="U56" s="241"/>
      <c r="V56" s="275">
        <f>IF(C56="",NA(),MATCH($B56&amp;$C56,'Smelter Look-up'!$J:$J,0))</f>
        <v>232</v>
      </c>
      <c r="W56" s="276"/>
      <c r="X56" s="276">
        <f t="shared" si="7"/>
        <v>0</v>
      </c>
      <c r="Y56" s="276"/>
      <c r="Z56" s="276"/>
      <c r="AB56" s="278" t="str">
        <f t="shared" si="8"/>
        <v>GoldSOE Shyolkovsky Factory of Secondary Precious Metals</v>
      </c>
    </row>
    <row r="57" spans="1:28" s="277" customFormat="1" ht="89.25">
      <c r="A57" s="347" t="s">
        <v>746</v>
      </c>
      <c r="B57" s="348" t="s">
        <v>1153</v>
      </c>
      <c r="C57" s="352" t="s">
        <v>938</v>
      </c>
      <c r="D57" s="348" t="s">
        <v>938</v>
      </c>
      <c r="E57" s="348" t="s">
        <v>15519</v>
      </c>
      <c r="F57" s="348" t="s">
        <v>746</v>
      </c>
      <c r="G57" s="348" t="s">
        <v>13577</v>
      </c>
      <c r="H57" s="349">
        <v>0</v>
      </c>
      <c r="I57" s="350" t="s">
        <v>1693</v>
      </c>
      <c r="J57" s="350" t="s">
        <v>11836</v>
      </c>
      <c r="K57" s="355"/>
      <c r="L57" s="355"/>
      <c r="M57" s="355"/>
      <c r="N57" s="355"/>
      <c r="O57" s="353"/>
      <c r="P57" s="351"/>
      <c r="Q57" s="354"/>
      <c r="R57" s="217" t="str">
        <f ca="1">IF(ISERROR($V57),"",OFFSET('Smelter Look-up'!$C$4,$V57-4,0)&amp;"")</f>
        <v>Solar Applied Materials Technology Corp.</v>
      </c>
      <c r="S57" s="225" t="str">
        <f t="shared" ca="1" si="6"/>
        <v>Unknown</v>
      </c>
      <c r="T57" s="225" t="str">
        <f ca="1">IF(B57="","",IF(ISERROR(MATCH($J57,SorP!$B$1:$B$6230,0)),"",INDIRECT("'SorP'!$A$"&amp;MATCH($J57,SorP!$B$1:$B$6230,0))))</f>
        <v>TW-TNN</v>
      </c>
      <c r="U57" s="241"/>
      <c r="V57" s="275">
        <f>IF(C57="",NA(),MATCH($B57&amp;$C57,'Smelter Look-up'!$J:$J,0))</f>
        <v>233</v>
      </c>
      <c r="W57" s="276"/>
      <c r="X57" s="276">
        <f t="shared" si="7"/>
        <v>0</v>
      </c>
      <c r="Y57" s="276"/>
      <c r="Z57" s="276"/>
      <c r="AB57" s="278" t="str">
        <f t="shared" si="8"/>
        <v>GoldSolar Applied Materials Technology Corp.</v>
      </c>
    </row>
    <row r="58" spans="1:28" s="277" customFormat="1" ht="63.75">
      <c r="A58" s="347" t="s">
        <v>747</v>
      </c>
      <c r="B58" s="348" t="s">
        <v>1153</v>
      </c>
      <c r="C58" s="352" t="s">
        <v>60</v>
      </c>
      <c r="D58" s="348" t="s">
        <v>60</v>
      </c>
      <c r="E58" s="348" t="s">
        <v>1131</v>
      </c>
      <c r="F58" s="348" t="s">
        <v>747</v>
      </c>
      <c r="G58" s="348" t="s">
        <v>13577</v>
      </c>
      <c r="H58" s="349">
        <v>0</v>
      </c>
      <c r="I58" s="350" t="s">
        <v>1694</v>
      </c>
      <c r="J58" s="350" t="s">
        <v>2323</v>
      </c>
      <c r="K58" s="355"/>
      <c r="L58" s="355"/>
      <c r="M58" s="355"/>
      <c r="N58" s="355"/>
      <c r="O58" s="353"/>
      <c r="P58" s="351"/>
      <c r="Q58" s="354"/>
      <c r="R58" s="217" t="str">
        <f ca="1">IF(ISERROR($V58),"",OFFSET('Smelter Look-up'!$C$4,$V58-4,0)&amp;"")</f>
        <v>Sumitomo Metal Mining Co., Ltd.</v>
      </c>
      <c r="S58" s="225" t="str">
        <f t="shared" ca="1" si="6"/>
        <v>JP</v>
      </c>
      <c r="T58" s="225" t="str">
        <f ca="1">IF(B58="","",IF(ISERROR(MATCH($J58,SorP!$B$1:$B$6230,0)),"",INDIRECT("'SorP'!$A$"&amp;MATCH($J58,SorP!$B$1:$B$6230,0))))</f>
        <v>JP-38</v>
      </c>
      <c r="U58" s="241"/>
      <c r="V58" s="275">
        <f>IF(C58="",NA(),MATCH($B58&amp;$C58,'Smelter Look-up'!$J:$J,0))</f>
        <v>240</v>
      </c>
      <c r="W58" s="276"/>
      <c r="X58" s="276">
        <f t="shared" si="7"/>
        <v>0</v>
      </c>
      <c r="Y58" s="276"/>
      <c r="Z58" s="276"/>
      <c r="AB58" s="278" t="str">
        <f t="shared" si="8"/>
        <v>GoldSumitomo Metal Mining Co., Ltd.</v>
      </c>
    </row>
    <row r="59" spans="1:28" s="277" customFormat="1" ht="63.75">
      <c r="A59" s="347" t="s">
        <v>748</v>
      </c>
      <c r="B59" s="348" t="s">
        <v>1153</v>
      </c>
      <c r="C59" s="352" t="s">
        <v>1256</v>
      </c>
      <c r="D59" s="348" t="s">
        <v>1256</v>
      </c>
      <c r="E59" s="348" t="s">
        <v>1131</v>
      </c>
      <c r="F59" s="348" t="s">
        <v>748</v>
      </c>
      <c r="G59" s="348" t="s">
        <v>13577</v>
      </c>
      <c r="H59" s="349">
        <v>0</v>
      </c>
      <c r="I59" s="350" t="s">
        <v>1696</v>
      </c>
      <c r="J59" s="350" t="s">
        <v>1697</v>
      </c>
      <c r="K59" s="355"/>
      <c r="L59" s="355"/>
      <c r="M59" s="355"/>
      <c r="N59" s="355"/>
      <c r="O59" s="353"/>
      <c r="P59" s="351"/>
      <c r="Q59" s="354"/>
      <c r="R59" s="217" t="str">
        <f ca="1">IF(ISERROR($V59),"",OFFSET('Smelter Look-up'!$C$4,$V59-4,0)&amp;"")</f>
        <v>Tanaka Kikinzoku Kogyo K.K.</v>
      </c>
      <c r="S59" s="225" t="str">
        <f t="shared" ca="1" si="6"/>
        <v>JP</v>
      </c>
      <c r="T59" s="225" t="str">
        <f ca="1">IF(B59="","",IF(ISERROR(MATCH($J59,SorP!$B$1:$B$6230,0)),"",INDIRECT("'SorP'!$A$"&amp;MATCH($J59,SorP!$B$1:$B$6230,0))))</f>
        <v>JP-14</v>
      </c>
      <c r="U59" s="241"/>
      <c r="V59" s="275">
        <f>IF(C59="",NA(),MATCH($B59&amp;$C59,'Smelter Look-up'!$J:$J,0))</f>
        <v>252</v>
      </c>
      <c r="W59" s="276"/>
      <c r="X59" s="276">
        <f t="shared" si="7"/>
        <v>0</v>
      </c>
      <c r="Y59" s="276"/>
      <c r="Z59" s="276"/>
      <c r="AB59" s="278" t="str">
        <f t="shared" si="8"/>
        <v>GoldTanaka Kikinzoku Kogyo K.K.</v>
      </c>
    </row>
    <row r="60" spans="1:28" s="277" customFormat="1" ht="89.25">
      <c r="A60" s="347" t="s">
        <v>750</v>
      </c>
      <c r="B60" s="348" t="s">
        <v>1153</v>
      </c>
      <c r="C60" s="352" t="s">
        <v>2268</v>
      </c>
      <c r="D60" s="348" t="s">
        <v>2268</v>
      </c>
      <c r="E60" s="348" t="s">
        <v>1123</v>
      </c>
      <c r="F60" s="348" t="s">
        <v>750</v>
      </c>
      <c r="G60" s="348" t="s">
        <v>13577</v>
      </c>
      <c r="H60" s="349">
        <v>0</v>
      </c>
      <c r="I60" s="350" t="s">
        <v>1687</v>
      </c>
      <c r="J60" s="350" t="s">
        <v>15518</v>
      </c>
      <c r="K60" s="355"/>
      <c r="L60" s="355"/>
      <c r="M60" s="355"/>
      <c r="N60" s="355"/>
      <c r="O60" s="353"/>
      <c r="P60" s="351"/>
      <c r="Q60" s="354"/>
      <c r="R60" s="217" t="str">
        <f ca="1">IF(ISERROR($V60),"",OFFSET('Smelter Look-up'!$C$4,$V60-4,0)&amp;"")</f>
        <v>The Refinery of Shandong Gold Mining Co., Ltd.</v>
      </c>
      <c r="S60" s="225" t="str">
        <f t="shared" ca="1" si="6"/>
        <v>CN</v>
      </c>
      <c r="T60" s="225" t="str">
        <f ca="1">IF(B60="","",IF(ISERROR(MATCH($J60,SorP!$B$1:$B$6230,0)),"",INDIRECT("'SorP'!$A$"&amp;MATCH($J60,SorP!$B$1:$B$6230,0))))</f>
        <v/>
      </c>
      <c r="U60" s="241"/>
      <c r="V60" s="275">
        <f>IF(C60="",NA(),MATCH($B60&amp;$C60,'Smelter Look-up'!$J:$J,0))</f>
        <v>256</v>
      </c>
      <c r="W60" s="276"/>
      <c r="X60" s="276">
        <f t="shared" si="7"/>
        <v>0</v>
      </c>
      <c r="Y60" s="276"/>
      <c r="Z60" s="276"/>
      <c r="AB60" s="278" t="str">
        <f t="shared" si="8"/>
        <v>GoldThe Refinery of Shandong Gold Mining Co., Ltd.</v>
      </c>
    </row>
    <row r="61" spans="1:28" s="277" customFormat="1" ht="51">
      <c r="A61" s="347" t="s">
        <v>751</v>
      </c>
      <c r="B61" s="348" t="s">
        <v>1153</v>
      </c>
      <c r="C61" s="352" t="s">
        <v>2269</v>
      </c>
      <c r="D61" s="348" t="s">
        <v>2269</v>
      </c>
      <c r="E61" s="348" t="s">
        <v>1131</v>
      </c>
      <c r="F61" s="348" t="s">
        <v>751</v>
      </c>
      <c r="G61" s="348" t="s">
        <v>13577</v>
      </c>
      <c r="H61" s="349">
        <v>0</v>
      </c>
      <c r="I61" s="350" t="s">
        <v>1702</v>
      </c>
      <c r="J61" s="350" t="s">
        <v>1610</v>
      </c>
      <c r="K61" s="355"/>
      <c r="L61" s="355"/>
      <c r="M61" s="355"/>
      <c r="N61" s="355"/>
      <c r="O61" s="353"/>
      <c r="P61" s="351"/>
      <c r="Q61" s="354"/>
      <c r="R61" s="217" t="str">
        <f ca="1">IF(ISERROR($V61),"",OFFSET('Smelter Look-up'!$C$4,$V61-4,0)&amp;"")</f>
        <v>Tokuriki Honten Co., Ltd.</v>
      </c>
      <c r="S61" s="225" t="str">
        <f t="shared" ca="1" si="6"/>
        <v>JP</v>
      </c>
      <c r="T61" s="225" t="str">
        <f ca="1">IF(B61="","",IF(ISERROR(MATCH($J61,SorP!$B$1:$B$6230,0)),"",INDIRECT("'SorP'!$A$"&amp;MATCH($J61,SorP!$B$1:$B$6230,0))))</f>
        <v>JP-11</v>
      </c>
      <c r="U61" s="241"/>
      <c r="V61" s="275">
        <f>IF(C61="",NA(),MATCH($B61&amp;$C61,'Smelter Look-up'!$J:$J,0))</f>
        <v>257</v>
      </c>
      <c r="W61" s="276"/>
      <c r="X61" s="276">
        <f t="shared" si="7"/>
        <v>0</v>
      </c>
      <c r="Y61" s="276"/>
      <c r="Z61" s="276"/>
      <c r="AB61" s="278" t="str">
        <f t="shared" si="8"/>
        <v>GoldTokuriki Honten Co., Ltd.</v>
      </c>
    </row>
    <row r="62" spans="1:28" s="277" customFormat="1" ht="102">
      <c r="A62" s="347" t="s">
        <v>755</v>
      </c>
      <c r="B62" s="348" t="s">
        <v>1153</v>
      </c>
      <c r="C62" s="352" t="s">
        <v>2458</v>
      </c>
      <c r="D62" s="348" t="s">
        <v>2458</v>
      </c>
      <c r="E62" s="348" t="s">
        <v>1118</v>
      </c>
      <c r="F62" s="348" t="s">
        <v>755</v>
      </c>
      <c r="G62" s="348" t="s">
        <v>13577</v>
      </c>
      <c r="H62" s="349">
        <v>0</v>
      </c>
      <c r="I62" s="350" t="s">
        <v>1709</v>
      </c>
      <c r="J62" s="350" t="s">
        <v>3305</v>
      </c>
      <c r="K62" s="355"/>
      <c r="L62" s="355"/>
      <c r="M62" s="355"/>
      <c r="N62" s="355"/>
      <c r="O62" s="353"/>
      <c r="P62" s="351"/>
      <c r="Q62" s="354"/>
      <c r="R62" s="217"/>
      <c r="S62" s="225" t="str">
        <f t="shared" ca="1" si="6"/>
        <v>BE</v>
      </c>
      <c r="T62" s="225" t="str">
        <f ca="1">IF(B62="","",IF(ISERROR(MATCH($J62,SorP!$B$1:$B$6230,0)),"",INDIRECT("'SorP'!$A$"&amp;MATCH($J62,SorP!$B$1:$B$6230,0))))</f>
        <v>BE-VAN</v>
      </c>
      <c r="U62" s="241"/>
      <c r="V62" s="275">
        <f>IF(C62="",NA(),MATCH($B62&amp;$C62,'Smelter Look-up'!$J:$J,0))</f>
        <v>267</v>
      </c>
      <c r="W62" s="276"/>
      <c r="X62" s="276">
        <f t="shared" si="7"/>
        <v>0</v>
      </c>
      <c r="Y62" s="276"/>
      <c r="Z62" s="276"/>
      <c r="AB62" s="278" t="str">
        <f t="shared" si="8"/>
        <v>GoldUmicore S.A. Business Unit Precious Metals Refining</v>
      </c>
    </row>
    <row r="63" spans="1:28" s="277" customFormat="1" ht="76.5">
      <c r="A63" s="347" t="s">
        <v>756</v>
      </c>
      <c r="B63" s="348" t="s">
        <v>1153</v>
      </c>
      <c r="C63" s="352" t="s">
        <v>843</v>
      </c>
      <c r="D63" s="348" t="s">
        <v>843</v>
      </c>
      <c r="E63" s="348" t="s">
        <v>15517</v>
      </c>
      <c r="F63" s="348" t="s">
        <v>756</v>
      </c>
      <c r="G63" s="348" t="s">
        <v>13577</v>
      </c>
      <c r="H63" s="349">
        <v>0</v>
      </c>
      <c r="I63" s="350" t="s">
        <v>1711</v>
      </c>
      <c r="J63" s="350" t="s">
        <v>1647</v>
      </c>
      <c r="K63" s="355"/>
      <c r="L63" s="355"/>
      <c r="M63" s="355"/>
      <c r="N63" s="355"/>
      <c r="O63" s="353"/>
      <c r="P63" s="351"/>
      <c r="Q63" s="354"/>
      <c r="R63" s="217" t="str">
        <f ca="1">IF(ISERROR($V63),"",OFFSET('Smelter Look-up'!$C$4,$V63-4,0)&amp;"")</f>
        <v>United Precious Metal Refining, Inc.</v>
      </c>
      <c r="S63" s="225" t="str">
        <f t="shared" ca="1" si="6"/>
        <v>Unknown</v>
      </c>
      <c r="T63" s="225" t="str">
        <f ca="1">IF(B63="","",IF(ISERROR(MATCH($J63,SorP!$B$1:$B$6230,0)),"",INDIRECT("'SorP'!$A$"&amp;MATCH($J63,SorP!$B$1:$B$6230,0))))</f>
        <v>US-NY</v>
      </c>
      <c r="U63" s="241"/>
      <c r="V63" s="275">
        <f>IF(C63="",NA(),MATCH($B63&amp;$C63,'Smelter Look-up'!$J:$J,0))</f>
        <v>268</v>
      </c>
      <c r="W63" s="276"/>
      <c r="X63" s="276">
        <f t="shared" si="7"/>
        <v>0</v>
      </c>
      <c r="Y63" s="276"/>
      <c r="Z63" s="276"/>
      <c r="AB63" s="278" t="str">
        <f t="shared" si="8"/>
        <v>GoldUnited Precious Metal Refining, Inc.</v>
      </c>
    </row>
    <row r="64" spans="1:28" s="277" customFormat="1" ht="38.25">
      <c r="A64" s="347" t="s">
        <v>757</v>
      </c>
      <c r="B64" s="348" t="s">
        <v>1153</v>
      </c>
      <c r="C64" s="352" t="s">
        <v>2460</v>
      </c>
      <c r="D64" s="348" t="s">
        <v>2460</v>
      </c>
      <c r="E64" s="348" t="s">
        <v>1121</v>
      </c>
      <c r="F64" s="348" t="s">
        <v>757</v>
      </c>
      <c r="G64" s="348" t="s">
        <v>13577</v>
      </c>
      <c r="H64" s="349">
        <v>0</v>
      </c>
      <c r="I64" s="350" t="s">
        <v>1712</v>
      </c>
      <c r="J64" s="350" t="s">
        <v>1579</v>
      </c>
      <c r="K64" s="355"/>
      <c r="L64" s="355"/>
      <c r="M64" s="355"/>
      <c r="N64" s="355"/>
      <c r="O64" s="353"/>
      <c r="P64" s="351"/>
      <c r="Q64" s="354"/>
      <c r="R64" s="217" t="str">
        <f ca="1">IF(ISERROR($V64),"",OFFSET('Smelter Look-up'!$C$4,$V64-4,0)&amp;"")</f>
        <v>Valcambi S.A.</v>
      </c>
      <c r="S64" s="225" t="str">
        <f t="shared" ca="1" si="6"/>
        <v>CH</v>
      </c>
      <c r="T64" s="225" t="str">
        <f ca="1">IF(B64="","",IF(ISERROR(MATCH($J64,SorP!$B$1:$B$6230,0)),"",INDIRECT("'SorP'!$A$"&amp;MATCH($J64,SorP!$B$1:$B$6230,0))))</f>
        <v>CH-TI</v>
      </c>
      <c r="U64" s="241"/>
      <c r="V64" s="275">
        <f>IF(C64="",NA(),MATCH($B64&amp;$C64,'Smelter Look-up'!$J:$J,0))</f>
        <v>269</v>
      </c>
      <c r="W64" s="276"/>
      <c r="X64" s="276">
        <f t="shared" si="7"/>
        <v>0</v>
      </c>
      <c r="Y64" s="276"/>
      <c r="Z64" s="276"/>
      <c r="AB64" s="278" t="str">
        <f t="shared" si="8"/>
        <v>GoldValcambi S.A.</v>
      </c>
    </row>
    <row r="65" spans="1:28" s="277" customFormat="1" ht="63.75">
      <c r="A65" s="347" t="s">
        <v>758</v>
      </c>
      <c r="B65" s="348" t="s">
        <v>1153</v>
      </c>
      <c r="C65" s="352" t="s">
        <v>2633</v>
      </c>
      <c r="D65" s="348" t="s">
        <v>2634</v>
      </c>
      <c r="E65" s="348" t="s">
        <v>1116</v>
      </c>
      <c r="F65" s="348" t="s">
        <v>758</v>
      </c>
      <c r="G65" s="348" t="s">
        <v>13577</v>
      </c>
      <c r="H65" s="349">
        <v>0</v>
      </c>
      <c r="I65" s="350" t="s">
        <v>1713</v>
      </c>
      <c r="J65" s="350" t="s">
        <v>1714</v>
      </c>
      <c r="K65" s="355"/>
      <c r="L65" s="355"/>
      <c r="M65" s="355"/>
      <c r="N65" s="355"/>
      <c r="O65" s="353"/>
      <c r="P65" s="351"/>
      <c r="Q65" s="354"/>
      <c r="R65" s="217" t="str">
        <f ca="1">IF(ISERROR($V65),"",OFFSET('Smelter Look-up'!$C$4,$V65-4,0)&amp;"")</f>
        <v>Western Australian Mint (T/a The Perth Mint)</v>
      </c>
      <c r="S65" s="225" t="str">
        <f t="shared" ca="1" si="6"/>
        <v>AU</v>
      </c>
      <c r="T65" s="225" t="str">
        <f ca="1">IF(B65="","",IF(ISERROR(MATCH($J65,SorP!$B$1:$B$6230,0)),"",INDIRECT("'SorP'!$A$"&amp;MATCH($J65,SorP!$B$1:$B$6230,0))))</f>
        <v>AU-WA</v>
      </c>
      <c r="U65" s="241"/>
      <c r="V65" s="275">
        <f>IF(C65="",NA(),MATCH($B65&amp;$C65,'Smelter Look-up'!$J:$J,0))</f>
        <v>9</v>
      </c>
      <c r="W65" s="276"/>
      <c r="X65" s="276">
        <f t="shared" si="7"/>
        <v>0</v>
      </c>
      <c r="Y65" s="276"/>
      <c r="Z65" s="276"/>
      <c r="AB65" s="278" t="str">
        <f t="shared" si="8"/>
        <v>GoldAGR (Perth Mint Australia)</v>
      </c>
    </row>
    <row r="66" spans="1:28" s="277" customFormat="1" ht="63.75">
      <c r="A66" s="347" t="s">
        <v>759</v>
      </c>
      <c r="B66" s="348" t="s">
        <v>1153</v>
      </c>
      <c r="C66" s="352" t="s">
        <v>2271</v>
      </c>
      <c r="D66" s="348" t="s">
        <v>2271</v>
      </c>
      <c r="E66" s="348" t="s">
        <v>1131</v>
      </c>
      <c r="F66" s="348" t="s">
        <v>759</v>
      </c>
      <c r="G66" s="348" t="s">
        <v>13577</v>
      </c>
      <c r="H66" s="349">
        <v>0</v>
      </c>
      <c r="I66" s="350" t="s">
        <v>13277</v>
      </c>
      <c r="J66" s="350" t="s">
        <v>6848</v>
      </c>
      <c r="K66" s="355"/>
      <c r="L66" s="355"/>
      <c r="M66" s="355"/>
      <c r="N66" s="355"/>
      <c r="O66" s="353"/>
      <c r="P66" s="351"/>
      <c r="Q66" s="354"/>
      <c r="R66" s="217" t="str">
        <f ca="1">IF(ISERROR($V66),"",OFFSET('Smelter Look-up'!$C$4,$V66-4,0)&amp;"")</f>
        <v>Yamakin Co., Ltd.</v>
      </c>
      <c r="S66" s="225" t="str">
        <f t="shared" ca="1" si="6"/>
        <v>JP</v>
      </c>
      <c r="T66" s="225" t="str">
        <f ca="1">IF(B66="","",IF(ISERROR(MATCH($J66,SorP!$B$1:$B$6230,0)),"",INDIRECT("'SorP'!$A$"&amp;MATCH($J66,SorP!$B$1:$B$6230,0))))</f>
        <v>JP-39</v>
      </c>
      <c r="U66" s="241"/>
      <c r="V66" s="275">
        <f>IF(C66="",NA(),MATCH($B66&amp;$C66,'Smelter Look-up'!$J:$J,0))</f>
        <v>277</v>
      </c>
      <c r="W66" s="276"/>
      <c r="X66" s="276">
        <f t="shared" si="7"/>
        <v>0</v>
      </c>
      <c r="Y66" s="276"/>
      <c r="Z66" s="276"/>
      <c r="AB66" s="278" t="str">
        <f t="shared" si="8"/>
        <v>GoldYamamoto Precious Metal Co., Ltd.</v>
      </c>
    </row>
    <row r="67" spans="1:28" s="277" customFormat="1" ht="51">
      <c r="A67" s="347" t="s">
        <v>760</v>
      </c>
      <c r="B67" s="348" t="s">
        <v>1153</v>
      </c>
      <c r="C67" s="352" t="s">
        <v>2272</v>
      </c>
      <c r="D67" s="348" t="s">
        <v>2272</v>
      </c>
      <c r="E67" s="348" t="s">
        <v>1131</v>
      </c>
      <c r="F67" s="348" t="s">
        <v>760</v>
      </c>
      <c r="G67" s="348" t="s">
        <v>13577</v>
      </c>
      <c r="H67" s="349">
        <v>0</v>
      </c>
      <c r="I67" s="350" t="s">
        <v>1719</v>
      </c>
      <c r="J67" s="350" t="s">
        <v>1697</v>
      </c>
      <c r="K67" s="355"/>
      <c r="L67" s="355"/>
      <c r="M67" s="355"/>
      <c r="N67" s="355"/>
      <c r="O67" s="353"/>
      <c r="P67" s="351"/>
      <c r="Q67" s="354"/>
      <c r="R67" s="217" t="str">
        <f ca="1">IF(ISERROR($V67),"",OFFSET('Smelter Look-up'!$C$4,$V67-4,0)&amp;"")</f>
        <v>Yokohama Metal Co., Ltd.</v>
      </c>
      <c r="S67" s="225" t="str">
        <f t="shared" ca="1" si="6"/>
        <v>JP</v>
      </c>
      <c r="T67" s="225" t="str">
        <f ca="1">IF(B67="","",IF(ISERROR(MATCH($J67,SorP!$B$1:$B$6230,0)),"",INDIRECT("'SorP'!$A$"&amp;MATCH($J67,SorP!$B$1:$B$6230,0))))</f>
        <v>JP-14</v>
      </c>
      <c r="U67" s="241"/>
      <c r="V67" s="275">
        <f>IF(C67="",NA(),MATCH($B67&amp;$C67,'Smelter Look-up'!$J:$J,0))</f>
        <v>280</v>
      </c>
      <c r="W67" s="276"/>
      <c r="X67" s="276">
        <f t="shared" si="7"/>
        <v>0</v>
      </c>
      <c r="Y67" s="276"/>
      <c r="Z67" s="276"/>
      <c r="AB67" s="278" t="str">
        <f t="shared" si="8"/>
        <v>GoldYokohama Metal Co., Ltd.</v>
      </c>
    </row>
    <row r="68" spans="1:28" s="277" customFormat="1" ht="114.75">
      <c r="A68" s="347" t="s">
        <v>762</v>
      </c>
      <c r="B68" s="348" t="s">
        <v>1153</v>
      </c>
      <c r="C68" s="352" t="s">
        <v>1348</v>
      </c>
      <c r="D68" s="348" t="s">
        <v>1348</v>
      </c>
      <c r="E68" s="348" t="s">
        <v>1123</v>
      </c>
      <c r="F68" s="348" t="s">
        <v>762</v>
      </c>
      <c r="G68" s="348" t="s">
        <v>13577</v>
      </c>
      <c r="H68" s="349">
        <v>0</v>
      </c>
      <c r="I68" s="350" t="s">
        <v>1720</v>
      </c>
      <c r="J68" s="350" t="s">
        <v>15520</v>
      </c>
      <c r="K68" s="355"/>
      <c r="L68" s="355"/>
      <c r="M68" s="355"/>
      <c r="N68" s="355"/>
      <c r="O68" s="353"/>
      <c r="P68" s="351"/>
      <c r="Q68" s="354"/>
      <c r="R68" s="217" t="str">
        <f ca="1">IF(ISERROR($V68),"",OFFSET('Smelter Look-up'!$C$4,$V68-4,0)&amp;"")</f>
        <v>Zhongyuan Gold Smelter of Zhongjin Gold Corporation</v>
      </c>
      <c r="S68" s="225" t="str">
        <f t="shared" ca="1" si="6"/>
        <v>CN</v>
      </c>
      <c r="T68" s="225" t="str">
        <f ca="1">IF(B68="","",IF(ISERROR(MATCH($J68,SorP!$B$1:$B$6230,0)),"",INDIRECT("'SorP'!$A$"&amp;MATCH($J68,SorP!$B$1:$B$6230,0))))</f>
        <v/>
      </c>
      <c r="U68" s="241"/>
      <c r="V68" s="275">
        <f>IF(C68="",NA(),MATCH($B68&amp;$C68,'Smelter Look-up'!$J:$J,0))</f>
        <v>290</v>
      </c>
      <c r="W68" s="276"/>
      <c r="X68" s="276">
        <f t="shared" si="7"/>
        <v>0</v>
      </c>
      <c r="Y68" s="276"/>
      <c r="Z68" s="276"/>
      <c r="AB68" s="278" t="str">
        <f t="shared" si="8"/>
        <v>GoldZhongyuan Gold Smelter of Zhongjin Gold Corporation</v>
      </c>
    </row>
    <row r="69" spans="1:28" s="277" customFormat="1" ht="89.25">
      <c r="A69" s="347" t="s">
        <v>763</v>
      </c>
      <c r="B69" s="348" t="s">
        <v>1153</v>
      </c>
      <c r="C69" s="352" t="s">
        <v>24</v>
      </c>
      <c r="D69" s="348" t="s">
        <v>15521</v>
      </c>
      <c r="E69" s="348" t="s">
        <v>1123</v>
      </c>
      <c r="F69" s="348" t="s">
        <v>763</v>
      </c>
      <c r="G69" s="348" t="s">
        <v>13577</v>
      </c>
      <c r="H69" s="349">
        <v>0</v>
      </c>
      <c r="I69" s="350" t="s">
        <v>1723</v>
      </c>
      <c r="J69" s="350" t="s">
        <v>15522</v>
      </c>
      <c r="K69" s="355"/>
      <c r="L69" s="355"/>
      <c r="M69" s="355"/>
      <c r="N69" s="355"/>
      <c r="O69" s="353"/>
      <c r="P69" s="351"/>
      <c r="Q69" s="354"/>
      <c r="R69" s="217" t="str">
        <f ca="1">IF(ISERROR($V69),"",OFFSET('Smelter Look-up'!$C$4,$V69-4,0)&amp;"")</f>
        <v>Gold Refinery of Zijin Mining Group Co., Ltd.</v>
      </c>
      <c r="S69" s="225" t="str">
        <f t="shared" ref="S69" ca="1" si="9">IF(B69="","",IF(ISERROR(MATCH($E69,CL,0)),"Unknown",INDIRECT("'C'!$A$"&amp;MATCH($E69,CL,0)+1)))</f>
        <v>CN</v>
      </c>
      <c r="T69" s="225" t="str">
        <f ca="1">IF(B69="","",IF(ISERROR(MATCH($J69,SorP!$B$1:$B$6230,0)),"",INDIRECT("'SorP'!$A$"&amp;MATCH($J69,SorP!$B$1:$B$6230,0))))</f>
        <v/>
      </c>
      <c r="U69" s="241"/>
      <c r="V69" s="275">
        <f>IF(C69="",NA(),MATCH($B69&amp;$C69,'Smelter Look-up'!$J:$J,0))</f>
        <v>78</v>
      </c>
      <c r="W69" s="276"/>
      <c r="X69" s="276">
        <f t="shared" ref="X69" si="10">IF(AND(C69="Smelter not listed",OR(LEN(D69)=0,LEN(E69)=0)),1,0)</f>
        <v>0</v>
      </c>
      <c r="Y69" s="276"/>
      <c r="Z69" s="276"/>
      <c r="AB69" s="278" t="str">
        <f t="shared" ref="AB69" si="11">B69&amp;C69</f>
        <v>GoldFujian Zijin mining stock company gold smelter</v>
      </c>
    </row>
    <row r="70" spans="1:28" s="277" customFormat="1" ht="63.75">
      <c r="A70" s="347" t="s">
        <v>150</v>
      </c>
      <c r="B70" s="348" t="s">
        <v>1153</v>
      </c>
      <c r="C70" s="352" t="s">
        <v>149</v>
      </c>
      <c r="D70" s="348" t="s">
        <v>149</v>
      </c>
      <c r="E70" s="348" t="s">
        <v>911</v>
      </c>
      <c r="F70" s="348" t="s">
        <v>150</v>
      </c>
      <c r="G70" s="348" t="s">
        <v>13577</v>
      </c>
      <c r="H70" s="349">
        <v>0</v>
      </c>
      <c r="I70" s="350" t="s">
        <v>12734</v>
      </c>
      <c r="J70" s="350" t="s">
        <v>11380</v>
      </c>
      <c r="K70" s="355"/>
      <c r="L70" s="355"/>
      <c r="M70" s="355"/>
      <c r="N70" s="355"/>
      <c r="O70" s="353"/>
      <c r="P70" s="351"/>
      <c r="Q70" s="354"/>
      <c r="R70" s="217" t="str">
        <f ca="1">IF(ISERROR($V70),"",OFFSET('Smelter Look-up'!$C$4,$V70-4,0)&amp;"")</f>
        <v>Umicore Precious Metals Thailand</v>
      </c>
      <c r="S70" s="225" t="str">
        <f t="shared" ref="S70:S101" ca="1" si="12">IF(B70="","",IF(ISERROR(MATCH($E70,CL,0)),"Unknown",INDIRECT("'C'!$A$"&amp;MATCH($E70,CL,0)+1)))</f>
        <v>TH</v>
      </c>
      <c r="T70" s="225" t="str">
        <f ca="1">IF(B70="","",IF(ISERROR(MATCH($J70,SorP!$B$1:$B$6230,0)),"",INDIRECT("'SorP'!$A$"&amp;MATCH($J70,SorP!$B$1:$B$6230,0))))</f>
        <v>TH-10</v>
      </c>
      <c r="U70" s="241"/>
      <c r="V70" s="275">
        <f>IF(C70="",NA(),MATCH($B70&amp;$C70,'Smelter Look-up'!$J:$J,0))</f>
        <v>266</v>
      </c>
      <c r="W70" s="276"/>
      <c r="X70" s="276">
        <f t="shared" ref="X70:X101" si="13">IF(AND(C70="Smelter not listed",OR(LEN(D70)=0,LEN(E70)=0)),1,0)</f>
        <v>0</v>
      </c>
      <c r="Y70" s="276"/>
      <c r="Z70" s="276"/>
      <c r="AB70" s="278" t="str">
        <f t="shared" ref="AB70:AB101" si="14">B70&amp;C70</f>
        <v>GoldUmicore Precious Metals Thailand</v>
      </c>
    </row>
    <row r="71" spans="1:28" s="277" customFormat="1" ht="20.25">
      <c r="A71" s="347" t="s">
        <v>783</v>
      </c>
      <c r="B71" s="348" t="s">
        <v>1154</v>
      </c>
      <c r="C71" s="352" t="s">
        <v>51</v>
      </c>
      <c r="D71" s="348" t="s">
        <v>51</v>
      </c>
      <c r="E71" s="348" t="s">
        <v>15517</v>
      </c>
      <c r="F71" s="348" t="s">
        <v>783</v>
      </c>
      <c r="G71" s="348" t="s">
        <v>13577</v>
      </c>
      <c r="H71" s="349">
        <v>0</v>
      </c>
      <c r="I71" s="350" t="s">
        <v>1798</v>
      </c>
      <c r="J71" s="350" t="s">
        <v>1774</v>
      </c>
      <c r="K71" s="355"/>
      <c r="L71" s="355"/>
      <c r="M71" s="355"/>
      <c r="N71" s="355"/>
      <c r="O71" s="353"/>
      <c r="P71" s="351"/>
      <c r="Q71" s="354"/>
      <c r="R71" s="217" t="str">
        <f ca="1">IF(ISERROR($V71),"",OFFSET('Smelter Look-up'!$C$4,$V71-4,0)&amp;"")</f>
        <v>Alpha</v>
      </c>
      <c r="S71" s="225" t="str">
        <f t="shared" ca="1" si="12"/>
        <v>Unknown</v>
      </c>
      <c r="T71" s="225" t="str">
        <f ca="1">IF(B71="","",IF(ISERROR(MATCH($J71,SorP!$B$1:$B$6230,0)),"",INDIRECT("'SorP'!$A$"&amp;MATCH($J71,SorP!$B$1:$B$6230,0))))</f>
        <v>US-PA</v>
      </c>
      <c r="U71" s="241"/>
      <c r="V71" s="275">
        <f>IF(C71="",NA(),MATCH($B71&amp;$C71,'Smelter Look-up'!$J:$J,0))</f>
        <v>356</v>
      </c>
      <c r="W71" s="276"/>
      <c r="X71" s="276">
        <f t="shared" si="13"/>
        <v>0</v>
      </c>
      <c r="Y71" s="276"/>
      <c r="Z71" s="276"/>
      <c r="AB71" s="278" t="str">
        <f t="shared" si="14"/>
        <v>TinAlpha</v>
      </c>
    </row>
    <row r="72" spans="1:28" s="277" customFormat="1" ht="20.25">
      <c r="A72" s="347" t="s">
        <v>1433</v>
      </c>
      <c r="B72" s="348" t="s">
        <v>1154</v>
      </c>
      <c r="C72" s="352" t="s">
        <v>929</v>
      </c>
      <c r="D72" s="348" t="s">
        <v>929</v>
      </c>
      <c r="E72" s="348" t="s">
        <v>1131</v>
      </c>
      <c r="F72" s="348" t="s">
        <v>1433</v>
      </c>
      <c r="G72" s="348" t="s">
        <v>13577</v>
      </c>
      <c r="H72" s="349">
        <v>0</v>
      </c>
      <c r="I72" s="350" t="s">
        <v>1604</v>
      </c>
      <c r="J72" s="350" t="s">
        <v>1605</v>
      </c>
      <c r="K72" s="355"/>
      <c r="L72" s="355"/>
      <c r="M72" s="355"/>
      <c r="N72" s="355"/>
      <c r="O72" s="353"/>
      <c r="P72" s="351"/>
      <c r="Q72" s="354"/>
      <c r="R72" s="217" t="str">
        <f ca="1">IF(ISERROR($V72),"",OFFSET('Smelter Look-up'!$C$4,$V72-4,0)&amp;"")</f>
        <v>Dowa</v>
      </c>
      <c r="S72" s="225" t="str">
        <f t="shared" ca="1" si="12"/>
        <v>JP</v>
      </c>
      <c r="T72" s="225" t="str">
        <f ca="1">IF(B72="","",IF(ISERROR(MATCH($J72,SorP!$B$1:$B$6230,0)),"",INDIRECT("'SorP'!$A$"&amp;MATCH($J72,SorP!$B$1:$B$6230,0))))</f>
        <v>JP-05</v>
      </c>
      <c r="U72" s="241"/>
      <c r="V72" s="275">
        <f>IF(C72="",NA(),MATCH($B72&amp;$C72,'Smelter Look-up'!$J:$J,0))</f>
        <v>374</v>
      </c>
      <c r="W72" s="276"/>
      <c r="X72" s="276">
        <f t="shared" si="13"/>
        <v>0</v>
      </c>
      <c r="Y72" s="276"/>
      <c r="Z72" s="276"/>
      <c r="AB72" s="278" t="str">
        <f t="shared" si="14"/>
        <v>TinDowa</v>
      </c>
    </row>
    <row r="73" spans="1:28" s="277" customFormat="1" ht="25.5">
      <c r="A73" s="347" t="s">
        <v>784</v>
      </c>
      <c r="B73" s="348" t="s">
        <v>1154</v>
      </c>
      <c r="C73" s="352" t="s">
        <v>865</v>
      </c>
      <c r="D73" s="348" t="s">
        <v>865</v>
      </c>
      <c r="E73" s="348" t="s">
        <v>15523</v>
      </c>
      <c r="F73" s="348" t="s">
        <v>784</v>
      </c>
      <c r="G73" s="348" t="s">
        <v>13577</v>
      </c>
      <c r="H73" s="349">
        <v>0</v>
      </c>
      <c r="I73" s="350" t="s">
        <v>1807</v>
      </c>
      <c r="J73" s="350" t="s">
        <v>1807</v>
      </c>
      <c r="K73" s="355"/>
      <c r="L73" s="355"/>
      <c r="M73" s="355"/>
      <c r="N73" s="355"/>
      <c r="O73" s="353"/>
      <c r="P73" s="351"/>
      <c r="Q73" s="354"/>
      <c r="R73" s="217" t="str">
        <f ca="1">IF(ISERROR($V73),"",OFFSET('Smelter Look-up'!$C$4,$V73-4,0)&amp;"")</f>
        <v>EM Vinto</v>
      </c>
      <c r="S73" s="225" t="str">
        <f t="shared" ca="1" si="12"/>
        <v>Unknown</v>
      </c>
      <c r="T73" s="225" t="str">
        <f ca="1">IF(B73="","",IF(ISERROR(MATCH($J73,SorP!$B$1:$B$6230,0)),"",INDIRECT("'SorP'!$A$"&amp;MATCH($J73,SorP!$B$1:$B$6230,0))))</f>
        <v>BO-O</v>
      </c>
      <c r="U73" s="241"/>
      <c r="V73" s="275">
        <f>IF(C73="",NA(),MATCH($B73&amp;$C73,'Smelter Look-up'!$J:$J,0))</f>
        <v>377</v>
      </c>
      <c r="W73" s="276"/>
      <c r="X73" s="276">
        <f t="shared" si="13"/>
        <v>0</v>
      </c>
      <c r="Y73" s="276"/>
      <c r="Z73" s="276"/>
      <c r="AB73" s="278" t="str">
        <f t="shared" si="14"/>
        <v>TinEM Vinto</v>
      </c>
    </row>
    <row r="74" spans="1:28" s="277" customFormat="1" ht="89.25">
      <c r="A74" s="347" t="s">
        <v>787</v>
      </c>
      <c r="B74" s="348" t="s">
        <v>1154</v>
      </c>
      <c r="C74" s="352" t="s">
        <v>2248</v>
      </c>
      <c r="D74" s="348" t="s">
        <v>2248</v>
      </c>
      <c r="E74" s="348" t="s">
        <v>1123</v>
      </c>
      <c r="F74" s="348" t="s">
        <v>787</v>
      </c>
      <c r="G74" s="348" t="s">
        <v>13577</v>
      </c>
      <c r="H74" s="349">
        <v>0</v>
      </c>
      <c r="I74" s="350" t="s">
        <v>2590</v>
      </c>
      <c r="J74" s="350" t="s">
        <v>15524</v>
      </c>
      <c r="K74" s="355"/>
      <c r="L74" s="355"/>
      <c r="M74" s="355"/>
      <c r="N74" s="355"/>
      <c r="O74" s="353"/>
      <c r="P74" s="351"/>
      <c r="Q74" s="354"/>
      <c r="R74" s="217" t="str">
        <f ca="1">IF(ISERROR($V74),"",OFFSET('Smelter Look-up'!$C$4,$V74-4,0)&amp;"")</f>
        <v>Gejiu Non-Ferrous Metal Processing Co., Ltd.</v>
      </c>
      <c r="S74" s="225" t="str">
        <f t="shared" ca="1" si="12"/>
        <v>CN</v>
      </c>
      <c r="T74" s="225" t="str">
        <f ca="1">IF(B74="","",IF(ISERROR(MATCH($J74,SorP!$B$1:$B$6230,0)),"",INDIRECT("'SorP'!$A$"&amp;MATCH($J74,SorP!$B$1:$B$6230,0))))</f>
        <v/>
      </c>
      <c r="U74" s="241"/>
      <c r="V74" s="275">
        <f>IF(C74="",NA(),MATCH($B74&amp;$C74,'Smelter Look-up'!$J:$J,0))</f>
        <v>389</v>
      </c>
      <c r="W74" s="276"/>
      <c r="X74" s="276">
        <f t="shared" si="13"/>
        <v>0</v>
      </c>
      <c r="Y74" s="276"/>
      <c r="Z74" s="276"/>
      <c r="AB74" s="278" t="str">
        <f t="shared" si="14"/>
        <v>TinGejiu Non-Ferrous Metal Processing Co., Ltd.</v>
      </c>
    </row>
    <row r="75" spans="1:28" s="277" customFormat="1" ht="51">
      <c r="A75" s="347" t="s">
        <v>791</v>
      </c>
      <c r="B75" s="348" t="s">
        <v>1154</v>
      </c>
      <c r="C75" s="352" t="s">
        <v>1350</v>
      </c>
      <c r="D75" s="348" t="s">
        <v>1350</v>
      </c>
      <c r="E75" s="348" t="s">
        <v>1123</v>
      </c>
      <c r="F75" s="348" t="s">
        <v>791</v>
      </c>
      <c r="G75" s="348" t="s">
        <v>13577</v>
      </c>
      <c r="H75" s="349">
        <v>0</v>
      </c>
      <c r="I75" s="350" t="s">
        <v>1814</v>
      </c>
      <c r="J75" s="350" t="s">
        <v>15525</v>
      </c>
      <c r="K75" s="355"/>
      <c r="L75" s="355"/>
      <c r="M75" s="355"/>
      <c r="N75" s="355"/>
      <c r="O75" s="353"/>
      <c r="P75" s="351"/>
      <c r="Q75" s="354"/>
      <c r="R75" s="217" t="str">
        <f ca="1">IF(ISERROR($V75),"",OFFSET('Smelter Look-up'!$C$4,$V75-4,0)&amp;"")</f>
        <v>China Tin Group Co., Ltd.</v>
      </c>
      <c r="S75" s="225" t="str">
        <f t="shared" ca="1" si="12"/>
        <v>CN</v>
      </c>
      <c r="T75" s="225" t="str">
        <f ca="1">IF(B75="","",IF(ISERROR(MATCH($J75,SorP!$B$1:$B$6230,0)),"",INDIRECT("'SorP'!$A$"&amp;MATCH($J75,SorP!$B$1:$B$6230,0))))</f>
        <v/>
      </c>
      <c r="U75" s="241"/>
      <c r="V75" s="275">
        <f>IF(C75="",NA(),MATCH($B75&amp;$C75,'Smelter Look-up'!$J:$J,0))</f>
        <v>367</v>
      </c>
      <c r="W75" s="276"/>
      <c r="X75" s="276">
        <f t="shared" si="13"/>
        <v>0</v>
      </c>
      <c r="Y75" s="276"/>
      <c r="Z75" s="276"/>
      <c r="AB75" s="278" t="str">
        <f t="shared" si="14"/>
        <v>TinChina Tin Group Co., Ltd.</v>
      </c>
    </row>
    <row r="76" spans="1:28" s="277" customFormat="1" ht="76.5">
      <c r="A76" s="347" t="s">
        <v>792</v>
      </c>
      <c r="B76" s="348" t="s">
        <v>1154</v>
      </c>
      <c r="C76" s="352" t="s">
        <v>844</v>
      </c>
      <c r="D76" s="348" t="s">
        <v>844</v>
      </c>
      <c r="E76" s="348" t="s">
        <v>1138</v>
      </c>
      <c r="F76" s="348" t="s">
        <v>792</v>
      </c>
      <c r="G76" s="348" t="s">
        <v>13577</v>
      </c>
      <c r="H76" s="349">
        <v>0</v>
      </c>
      <c r="I76" s="350" t="s">
        <v>1819</v>
      </c>
      <c r="J76" s="350" t="s">
        <v>8983</v>
      </c>
      <c r="K76" s="355"/>
      <c r="L76" s="355"/>
      <c r="M76" s="355"/>
      <c r="N76" s="355"/>
      <c r="O76" s="353"/>
      <c r="P76" s="351"/>
      <c r="Q76" s="354"/>
      <c r="R76" s="217" t="str">
        <f ca="1">IF(ISERROR($V76),"",OFFSET('Smelter Look-up'!$C$4,$V76-4,0)&amp;"")</f>
        <v>Malaysia Smelting Corporation (MSC)</v>
      </c>
      <c r="S76" s="225" t="str">
        <f t="shared" ca="1" si="12"/>
        <v>MY</v>
      </c>
      <c r="T76" s="225" t="str">
        <f ca="1">IF(B76="","",IF(ISERROR(MATCH($J76,SorP!$B$1:$B$6230,0)),"",INDIRECT("'SorP'!$A$"&amp;MATCH($J76,SorP!$B$1:$B$6230,0))))</f>
        <v>MY-07</v>
      </c>
      <c r="U76" s="241"/>
      <c r="V76" s="275">
        <f>IF(C76="",NA(),MATCH($B76&amp;$C76,'Smelter Look-up'!$J:$J,0))</f>
        <v>414</v>
      </c>
      <c r="W76" s="276"/>
      <c r="X76" s="276">
        <f t="shared" si="13"/>
        <v>0</v>
      </c>
      <c r="Y76" s="276"/>
      <c r="Z76" s="276"/>
      <c r="AB76" s="278" t="str">
        <f t="shared" si="14"/>
        <v>TinMalaysia Smelting Corporation (MSC)</v>
      </c>
    </row>
    <row r="77" spans="1:28" s="277" customFormat="1" ht="51">
      <c r="A77" s="347" t="s">
        <v>793</v>
      </c>
      <c r="B77" s="348" t="s">
        <v>1154</v>
      </c>
      <c r="C77" s="352" t="s">
        <v>1056</v>
      </c>
      <c r="D77" s="348" t="s">
        <v>1056</v>
      </c>
      <c r="E77" s="348" t="s">
        <v>1119</v>
      </c>
      <c r="F77" s="348" t="s">
        <v>793</v>
      </c>
      <c r="G77" s="348" t="s">
        <v>13577</v>
      </c>
      <c r="H77" s="349">
        <v>0</v>
      </c>
      <c r="I77" s="350" t="s">
        <v>1822</v>
      </c>
      <c r="J77" s="350" t="s">
        <v>1708</v>
      </c>
      <c r="K77" s="355"/>
      <c r="L77" s="355"/>
      <c r="M77" s="355"/>
      <c r="N77" s="355"/>
      <c r="O77" s="353"/>
      <c r="P77" s="351"/>
      <c r="Q77" s="354"/>
      <c r="R77" s="217" t="str">
        <f ca="1">IF(ISERROR($V77),"",OFFSET('Smelter Look-up'!$C$4,$V77-4,0)&amp;"")</f>
        <v>Mineracao Taboca S.A.</v>
      </c>
      <c r="S77" s="225" t="str">
        <f t="shared" ca="1" si="12"/>
        <v>BR</v>
      </c>
      <c r="T77" s="225" t="str">
        <f ca="1">IF(B77="","",IF(ISERROR(MATCH($J77,SorP!$B$1:$B$6230,0)),"",INDIRECT("'SorP'!$A$"&amp;MATCH($J77,SorP!$B$1:$B$6230,0))))</f>
        <v>BR-SP</v>
      </c>
      <c r="U77" s="241"/>
      <c r="V77" s="275">
        <f>IF(C77="",NA(),MATCH($B77&amp;$C77,'Smelter Look-up'!$J:$J,0))</f>
        <v>422</v>
      </c>
      <c r="W77" s="276"/>
      <c r="X77" s="276">
        <f t="shared" si="13"/>
        <v>0</v>
      </c>
      <c r="Y77" s="276"/>
      <c r="Z77" s="276"/>
      <c r="AB77" s="278" t="str">
        <f t="shared" si="14"/>
        <v>TinMineração Taboca S.A.</v>
      </c>
    </row>
    <row r="78" spans="1:28" s="277" customFormat="1" ht="25.5">
      <c r="A78" s="347" t="s">
        <v>794</v>
      </c>
      <c r="B78" s="348" t="s">
        <v>1154</v>
      </c>
      <c r="C78" s="352" t="s">
        <v>1057</v>
      </c>
      <c r="D78" s="348" t="s">
        <v>1057</v>
      </c>
      <c r="E78" s="348" t="s">
        <v>903</v>
      </c>
      <c r="F78" s="348" t="s">
        <v>794</v>
      </c>
      <c r="G78" s="348" t="s">
        <v>13577</v>
      </c>
      <c r="H78" s="349">
        <v>0</v>
      </c>
      <c r="I78" s="350" t="s">
        <v>1824</v>
      </c>
      <c r="J78" s="350" t="s">
        <v>9438</v>
      </c>
      <c r="K78" s="355"/>
      <c r="L78" s="355"/>
      <c r="M78" s="355"/>
      <c r="N78" s="355"/>
      <c r="O78" s="353"/>
      <c r="P78" s="351"/>
      <c r="Q78" s="354"/>
      <c r="R78" s="217" t="str">
        <f ca="1">IF(ISERROR($V78),"",OFFSET('Smelter Look-up'!$C$4,$V78-4,0)&amp;"")</f>
        <v>Minsur</v>
      </c>
      <c r="S78" s="225" t="str">
        <f t="shared" ca="1" si="12"/>
        <v>PE</v>
      </c>
      <c r="T78" s="225" t="str">
        <f ca="1">IF(B78="","",IF(ISERROR(MATCH($J78,SorP!$B$1:$B$6230,0)),"",INDIRECT("'SorP'!$A$"&amp;MATCH($J78,SorP!$B$1:$B$6230,0))))</f>
        <v>PE-ICA</v>
      </c>
      <c r="U78" s="241"/>
      <c r="V78" s="275">
        <f>IF(C78="",NA(),MATCH($B78&amp;$C78,'Smelter Look-up'!$J:$J,0))</f>
        <v>424</v>
      </c>
      <c r="W78" s="276"/>
      <c r="X78" s="276">
        <f t="shared" si="13"/>
        <v>0</v>
      </c>
      <c r="Y78" s="276"/>
      <c r="Z78" s="276"/>
      <c r="AB78" s="278" t="str">
        <f t="shared" si="14"/>
        <v>TinMinsur</v>
      </c>
    </row>
    <row r="79" spans="1:28" s="277" customFormat="1" ht="76.5">
      <c r="A79" s="347" t="s">
        <v>795</v>
      </c>
      <c r="B79" s="348" t="s">
        <v>1154</v>
      </c>
      <c r="C79" s="352" t="s">
        <v>1187</v>
      </c>
      <c r="D79" s="348" t="s">
        <v>1187</v>
      </c>
      <c r="E79" s="348" t="s">
        <v>1131</v>
      </c>
      <c r="F79" s="348" t="s">
        <v>795</v>
      </c>
      <c r="G79" s="348" t="s">
        <v>13577</v>
      </c>
      <c r="H79" s="349">
        <v>0</v>
      </c>
      <c r="I79" s="350" t="s">
        <v>1827</v>
      </c>
      <c r="J79" s="350" t="s">
        <v>1581</v>
      </c>
      <c r="K79" s="355"/>
      <c r="L79" s="355"/>
      <c r="M79" s="355"/>
      <c r="N79" s="355"/>
      <c r="O79" s="353"/>
      <c r="P79" s="351"/>
      <c r="Q79" s="354"/>
      <c r="R79" s="217" t="str">
        <f ca="1">IF(ISERROR($V79),"",OFFSET('Smelter Look-up'!$C$4,$V79-4,0)&amp;"")</f>
        <v>Mitsubishi Materials Corporation</v>
      </c>
      <c r="S79" s="225" t="str">
        <f t="shared" ca="1" si="12"/>
        <v>JP</v>
      </c>
      <c r="T79" s="225" t="str">
        <f ca="1">IF(B79="","",IF(ISERROR(MATCH($J79,SorP!$B$1:$B$6230,0)),"",INDIRECT("'SorP'!$A$"&amp;MATCH($J79,SorP!$B$1:$B$6230,0))))</f>
        <v>JP-28</v>
      </c>
      <c r="U79" s="241"/>
      <c r="V79" s="275">
        <f>IF(C79="",NA(),MATCH($B79&amp;$C79,'Smelter Look-up'!$J:$J,0))</f>
        <v>425</v>
      </c>
      <c r="W79" s="276"/>
      <c r="X79" s="276">
        <f t="shared" si="13"/>
        <v>0</v>
      </c>
      <c r="Y79" s="276"/>
      <c r="Z79" s="276"/>
      <c r="AB79" s="278" t="str">
        <f t="shared" si="14"/>
        <v>TinMitsubishi Materials Corporation</v>
      </c>
    </row>
    <row r="80" spans="1:28" s="277" customFormat="1" ht="51">
      <c r="A80" s="347" t="s">
        <v>798</v>
      </c>
      <c r="B80" s="348" t="s">
        <v>1154</v>
      </c>
      <c r="C80" s="352" t="s">
        <v>15526</v>
      </c>
      <c r="D80" s="348" t="s">
        <v>15526</v>
      </c>
      <c r="E80" s="348" t="s">
        <v>15523</v>
      </c>
      <c r="F80" s="348" t="s">
        <v>798</v>
      </c>
      <c r="G80" s="348" t="s">
        <v>13577</v>
      </c>
      <c r="H80" s="349">
        <v>0</v>
      </c>
      <c r="I80" s="350" t="s">
        <v>1807</v>
      </c>
      <c r="J80" s="350" t="s">
        <v>1807</v>
      </c>
      <c r="K80" s="355"/>
      <c r="L80" s="355"/>
      <c r="M80" s="355"/>
      <c r="N80" s="355"/>
      <c r="O80" s="353"/>
      <c r="P80" s="351"/>
      <c r="Q80" s="354"/>
      <c r="R80" s="217" t="str">
        <f ca="1">IF(ISERROR($V80),"",OFFSET('Smelter Look-up'!$C$4,$V80-4,0)&amp;"")</f>
        <v/>
      </c>
      <c r="S80" s="225" t="str">
        <f t="shared" ca="1" si="12"/>
        <v>Unknown</v>
      </c>
      <c r="T80" s="225" t="str">
        <f ca="1">IF(B80="","",IF(ISERROR(MATCH($J80,SorP!$B$1:$B$6230,0)),"",INDIRECT("'SorP'!$A$"&amp;MATCH($J80,SorP!$B$1:$B$6230,0))))</f>
        <v>BO-O</v>
      </c>
      <c r="U80" s="241"/>
      <c r="V80" s="275" t="e">
        <f>IF(C80="",NA(),MATCH($B80&amp;$C80,'Smelter Look-up'!$J:$J,0))</f>
        <v>#N/A</v>
      </c>
      <c r="W80" s="276"/>
      <c r="X80" s="276">
        <f t="shared" si="13"/>
        <v>0</v>
      </c>
      <c r="Y80" s="276"/>
      <c r="Z80" s="276"/>
      <c r="AB80" s="278" t="str">
        <f t="shared" si="14"/>
        <v>TinOperaciones Metalurgical S.A.</v>
      </c>
    </row>
    <row r="81" spans="1:28" s="277" customFormat="1" ht="51">
      <c r="A81" s="347" t="s">
        <v>800</v>
      </c>
      <c r="B81" s="348" t="s">
        <v>1154</v>
      </c>
      <c r="C81" s="352" t="s">
        <v>643</v>
      </c>
      <c r="D81" s="348" t="s">
        <v>643</v>
      </c>
      <c r="E81" s="348" t="s">
        <v>1128</v>
      </c>
      <c r="F81" s="348" t="s">
        <v>800</v>
      </c>
      <c r="G81" s="348" t="s">
        <v>13577</v>
      </c>
      <c r="H81" s="349">
        <v>0</v>
      </c>
      <c r="I81" s="350" t="s">
        <v>1805</v>
      </c>
      <c r="J81" s="350" t="s">
        <v>13183</v>
      </c>
      <c r="K81" s="355"/>
      <c r="L81" s="355"/>
      <c r="M81" s="355"/>
      <c r="N81" s="355"/>
      <c r="O81" s="353"/>
      <c r="P81" s="351"/>
      <c r="Q81" s="354"/>
      <c r="R81" s="217" t="str">
        <f ca="1">IF(ISERROR($V81),"",OFFSET('Smelter Look-up'!$C$4,$V81-4,0)&amp;"")</f>
        <v>PT Mitra Stania Prima</v>
      </c>
      <c r="S81" s="225" t="str">
        <f t="shared" ca="1" si="12"/>
        <v>ID</v>
      </c>
      <c r="T81" s="225" t="str">
        <f ca="1">IF(B81="","",IF(ISERROR(MATCH($J81,SorP!$B$1:$B$6230,0)),"",INDIRECT("'SorP'!$A$"&amp;MATCH($J81,SorP!$B$1:$B$6230,0))))</f>
        <v>ID-BB</v>
      </c>
      <c r="U81" s="241"/>
      <c r="V81" s="275">
        <f>IF(C81="",NA(),MATCH($B81&amp;$C81,'Smelter Look-up'!$J:$J,0))</f>
        <v>441</v>
      </c>
      <c r="W81" s="276"/>
      <c r="X81" s="276">
        <f t="shared" si="13"/>
        <v>0</v>
      </c>
      <c r="Y81" s="276"/>
      <c r="Z81" s="276"/>
      <c r="AB81" s="278" t="str">
        <f t="shared" si="14"/>
        <v>TinPT Mitra Stania Prima</v>
      </c>
    </row>
    <row r="82" spans="1:28" s="277" customFormat="1" ht="51">
      <c r="A82" s="347" t="s">
        <v>801</v>
      </c>
      <c r="B82" s="348" t="s">
        <v>1154</v>
      </c>
      <c r="C82" s="352" t="s">
        <v>2262</v>
      </c>
      <c r="D82" s="348" t="s">
        <v>2262</v>
      </c>
      <c r="E82" s="348" t="s">
        <v>1128</v>
      </c>
      <c r="F82" s="348" t="s">
        <v>801</v>
      </c>
      <c r="G82" s="348" t="s">
        <v>13577</v>
      </c>
      <c r="H82" s="349">
        <v>0</v>
      </c>
      <c r="I82" s="350" t="s">
        <v>1805</v>
      </c>
      <c r="J82" s="350" t="s">
        <v>13183</v>
      </c>
      <c r="K82" s="355"/>
      <c r="L82" s="355"/>
      <c r="M82" s="355"/>
      <c r="N82" s="355"/>
      <c r="O82" s="353"/>
      <c r="P82" s="351"/>
      <c r="Q82" s="354"/>
      <c r="R82" s="217" t="str">
        <f ca="1">IF(ISERROR($V82),"",OFFSET('Smelter Look-up'!$C$4,$V82-4,0)&amp;"")</f>
        <v>PT Refined Bangka Tin</v>
      </c>
      <c r="S82" s="225" t="str">
        <f t="shared" ca="1" si="12"/>
        <v>ID</v>
      </c>
      <c r="T82" s="225" t="str">
        <f ca="1">IF(B82="","",IF(ISERROR(MATCH($J82,SorP!$B$1:$B$6230,0)),"",INDIRECT("'SorP'!$A$"&amp;MATCH($J82,SorP!$B$1:$B$6230,0))))</f>
        <v>ID-BB</v>
      </c>
      <c r="U82" s="241"/>
      <c r="V82" s="275">
        <f>IF(C82="",NA(),MATCH($B82&amp;$C82,'Smelter Look-up'!$J:$J,0))</f>
        <v>443</v>
      </c>
      <c r="W82" s="276"/>
      <c r="X82" s="276">
        <f t="shared" si="13"/>
        <v>0</v>
      </c>
      <c r="Y82" s="276"/>
      <c r="Z82" s="276"/>
      <c r="AB82" s="278" t="str">
        <f t="shared" si="14"/>
        <v>TinPT Refined Bangka Tin</v>
      </c>
    </row>
    <row r="83" spans="1:28" s="277" customFormat="1" ht="63.75">
      <c r="A83" s="347" t="s">
        <v>824</v>
      </c>
      <c r="B83" s="348" t="s">
        <v>1154</v>
      </c>
      <c r="C83" s="352" t="s">
        <v>15527</v>
      </c>
      <c r="D83" s="348" t="s">
        <v>15527</v>
      </c>
      <c r="E83" s="348" t="s">
        <v>1128</v>
      </c>
      <c r="F83" s="348" t="s">
        <v>824</v>
      </c>
      <c r="G83" s="348" t="s">
        <v>13577</v>
      </c>
      <c r="H83" s="349">
        <v>0</v>
      </c>
      <c r="I83" s="350" t="s">
        <v>1832</v>
      </c>
      <c r="J83" s="350" t="s">
        <v>6250</v>
      </c>
      <c r="K83" s="355"/>
      <c r="L83" s="355"/>
      <c r="M83" s="355"/>
      <c r="N83" s="355"/>
      <c r="O83" s="353"/>
      <c r="P83" s="351"/>
      <c r="Q83" s="354"/>
      <c r="R83" s="217" t="str">
        <f ca="1">IF(ISERROR($V83),"",OFFSET('Smelter Look-up'!$C$4,$V83-4,0)&amp;"")</f>
        <v/>
      </c>
      <c r="S83" s="225" t="str">
        <f t="shared" ca="1" si="12"/>
        <v>ID</v>
      </c>
      <c r="T83" s="225" t="str">
        <f ca="1">IF(B83="","",IF(ISERROR(MATCH($J83,SorP!$B$1:$B$6230,0)),"",INDIRECT("'SorP'!$A$"&amp;MATCH($J83,SorP!$B$1:$B$6230,0))))</f>
        <v>ID-RI</v>
      </c>
      <c r="U83" s="241"/>
      <c r="V83" s="275" t="e">
        <f>IF(C83="",NA(),MATCH($B83&amp;$C83,'Smelter Look-up'!$J:$J,0))</f>
        <v>#N/A</v>
      </c>
      <c r="W83" s="276"/>
      <c r="X83" s="276">
        <f t="shared" si="13"/>
        <v>0</v>
      </c>
      <c r="Y83" s="276"/>
      <c r="Z83" s="276"/>
      <c r="AB83" s="278" t="str">
        <f t="shared" si="14"/>
        <v>TinPT Timah (Persero) Tbk Kundur</v>
      </c>
    </row>
    <row r="84" spans="1:28" s="277" customFormat="1" ht="63.75">
      <c r="A84" s="347" t="s">
        <v>802</v>
      </c>
      <c r="B84" s="348" t="s">
        <v>1154</v>
      </c>
      <c r="C84" s="352" t="s">
        <v>15528</v>
      </c>
      <c r="D84" s="348" t="s">
        <v>15528</v>
      </c>
      <c r="E84" s="348" t="s">
        <v>1128</v>
      </c>
      <c r="F84" s="348" t="s">
        <v>802</v>
      </c>
      <c r="G84" s="348" t="s">
        <v>13577</v>
      </c>
      <c r="H84" s="349">
        <v>0</v>
      </c>
      <c r="I84" s="350" t="s">
        <v>1834</v>
      </c>
      <c r="J84" s="350" t="s">
        <v>13183</v>
      </c>
      <c r="K84" s="355"/>
      <c r="L84" s="355"/>
      <c r="M84" s="355"/>
      <c r="N84" s="355"/>
      <c r="O84" s="353"/>
      <c r="P84" s="351"/>
      <c r="Q84" s="354"/>
      <c r="R84" s="217" t="str">
        <f ca="1">IF(ISERROR($V84),"",OFFSET('Smelter Look-up'!$C$4,$V84-4,0)&amp;"")</f>
        <v/>
      </c>
      <c r="S84" s="225" t="str">
        <f t="shared" ca="1" si="12"/>
        <v>ID</v>
      </c>
      <c r="T84" s="225" t="str">
        <f ca="1">IF(B84="","",IF(ISERROR(MATCH($J84,SorP!$B$1:$B$6230,0)),"",INDIRECT("'SorP'!$A$"&amp;MATCH($J84,SorP!$B$1:$B$6230,0))))</f>
        <v>ID-BB</v>
      </c>
      <c r="U84" s="241"/>
      <c r="V84" s="275" t="e">
        <f>IF(C84="",NA(),MATCH($B84&amp;$C84,'Smelter Look-up'!$J:$J,0))</f>
        <v>#N/A</v>
      </c>
      <c r="W84" s="276"/>
      <c r="X84" s="276">
        <f t="shared" si="13"/>
        <v>0</v>
      </c>
      <c r="Y84" s="276"/>
      <c r="Z84" s="276"/>
      <c r="AB84" s="278" t="str">
        <f t="shared" si="14"/>
        <v>TinPT Timah (Persero) Tbk Mentok</v>
      </c>
    </row>
    <row r="85" spans="1:28" s="277" customFormat="1" ht="25.5">
      <c r="A85" s="347" t="s">
        <v>806</v>
      </c>
      <c r="B85" s="348" t="s">
        <v>1154</v>
      </c>
      <c r="C85" s="352" t="s">
        <v>1054</v>
      </c>
      <c r="D85" s="348" t="s">
        <v>1054</v>
      </c>
      <c r="E85" s="348" t="s">
        <v>911</v>
      </c>
      <c r="F85" s="348" t="s">
        <v>806</v>
      </c>
      <c r="G85" s="348" t="s">
        <v>13577</v>
      </c>
      <c r="H85" s="349">
        <v>0</v>
      </c>
      <c r="I85" s="350" t="s">
        <v>1836</v>
      </c>
      <c r="J85" s="350" t="s">
        <v>1837</v>
      </c>
      <c r="K85" s="355"/>
      <c r="L85" s="355"/>
      <c r="M85" s="355"/>
      <c r="N85" s="355"/>
      <c r="O85" s="353"/>
      <c r="P85" s="351"/>
      <c r="Q85" s="354"/>
      <c r="R85" s="217" t="str">
        <f ca="1">IF(ISERROR($V85),"",OFFSET('Smelter Look-up'!$C$4,$V85-4,0)&amp;"")</f>
        <v>Thaisarco</v>
      </c>
      <c r="S85" s="225" t="str">
        <f t="shared" ca="1" si="12"/>
        <v>TH</v>
      </c>
      <c r="T85" s="225" t="str">
        <f ca="1">IF(B85="","",IF(ISERROR(MATCH($J85,SorP!$B$1:$B$6230,0)),"",INDIRECT("'SorP'!$A$"&amp;MATCH($J85,SorP!$B$1:$B$6230,0))))</f>
        <v>TH-83</v>
      </c>
      <c r="U85" s="241"/>
      <c r="V85" s="275">
        <f>IF(C85="",NA(),MATCH($B85&amp;$C85,'Smelter Look-up'!$J:$J,0))</f>
        <v>458</v>
      </c>
      <c r="W85" s="276"/>
      <c r="X85" s="276">
        <f t="shared" si="13"/>
        <v>0</v>
      </c>
      <c r="Y85" s="276"/>
      <c r="Z85" s="276"/>
      <c r="AB85" s="278" t="str">
        <f t="shared" si="14"/>
        <v>TinThaisarco</v>
      </c>
    </row>
    <row r="86" spans="1:28" s="277" customFormat="1" ht="89.25">
      <c r="A86" s="347" t="s">
        <v>808</v>
      </c>
      <c r="B86" s="348" t="s">
        <v>1154</v>
      </c>
      <c r="C86" s="352" t="s">
        <v>2273</v>
      </c>
      <c r="D86" s="348" t="s">
        <v>2273</v>
      </c>
      <c r="E86" s="348" t="s">
        <v>1123</v>
      </c>
      <c r="F86" s="348" t="s">
        <v>808</v>
      </c>
      <c r="G86" s="348" t="s">
        <v>13577</v>
      </c>
      <c r="H86" s="349">
        <v>0</v>
      </c>
      <c r="I86" s="350" t="s">
        <v>2590</v>
      </c>
      <c r="J86" s="350" t="s">
        <v>15524</v>
      </c>
      <c r="K86" s="355"/>
      <c r="L86" s="355"/>
      <c r="M86" s="355"/>
      <c r="N86" s="355"/>
      <c r="O86" s="353"/>
      <c r="P86" s="351"/>
      <c r="Q86" s="354"/>
      <c r="R86" s="217" t="str">
        <f ca="1">IF(ISERROR($V86),"",OFFSET('Smelter Look-up'!$C$4,$V86-4,0)&amp;"")</f>
        <v>Yunnan Chengfeng Non-ferrous Metals Co., Ltd.</v>
      </c>
      <c r="S86" s="225" t="str">
        <f t="shared" ca="1" si="12"/>
        <v>CN</v>
      </c>
      <c r="T86" s="225" t="str">
        <f ca="1">IF(B86="","",IF(ISERROR(MATCH($J86,SorP!$B$1:$B$6230,0)),"",INDIRECT("'SorP'!$A$"&amp;MATCH($J86,SorP!$B$1:$B$6230,0))))</f>
        <v/>
      </c>
      <c r="U86" s="241"/>
      <c r="V86" s="275">
        <f>IF(C86="",NA(),MATCH($B86&amp;$C86,'Smelter Look-up'!$J:$J,0))</f>
        <v>473</v>
      </c>
      <c r="W86" s="276"/>
      <c r="X86" s="276">
        <f t="shared" si="13"/>
        <v>0</v>
      </c>
      <c r="Y86" s="276"/>
      <c r="Z86" s="276"/>
      <c r="AB86" s="278" t="str">
        <f t="shared" si="14"/>
        <v>TinYunnan Chengfeng Non-ferrous Metals Co., Ltd.</v>
      </c>
    </row>
    <row r="87" spans="1:28" s="277" customFormat="1" ht="63.75">
      <c r="A87" s="347" t="s">
        <v>809</v>
      </c>
      <c r="B87" s="348" t="s">
        <v>1154</v>
      </c>
      <c r="C87" s="352" t="s">
        <v>2471</v>
      </c>
      <c r="D87" s="348" t="s">
        <v>2471</v>
      </c>
      <c r="E87" s="348" t="s">
        <v>1123</v>
      </c>
      <c r="F87" s="348" t="s">
        <v>809</v>
      </c>
      <c r="G87" s="348" t="s">
        <v>13577</v>
      </c>
      <c r="H87" s="349">
        <v>0</v>
      </c>
      <c r="I87" s="350" t="s">
        <v>2590</v>
      </c>
      <c r="J87" s="350" t="s">
        <v>15524</v>
      </c>
      <c r="K87" s="355"/>
      <c r="L87" s="355"/>
      <c r="M87" s="355"/>
      <c r="N87" s="355"/>
      <c r="O87" s="353"/>
      <c r="P87" s="351"/>
      <c r="Q87" s="354"/>
      <c r="R87" s="217" t="str">
        <f ca="1">IF(ISERROR($V87),"",OFFSET('Smelter Look-up'!$C$4,$V87-4,0)&amp;"")</f>
        <v>Yunnan Tin Company Limited</v>
      </c>
      <c r="S87" s="225" t="str">
        <f t="shared" ca="1" si="12"/>
        <v>CN</v>
      </c>
      <c r="T87" s="225" t="str">
        <f ca="1">IF(B87="","",IF(ISERROR(MATCH($J87,SorP!$B$1:$B$6230,0)),"",INDIRECT("'SorP'!$A$"&amp;MATCH($J87,SorP!$B$1:$B$6230,0))))</f>
        <v/>
      </c>
      <c r="U87" s="241"/>
      <c r="V87" s="275">
        <f>IF(C87="",NA(),MATCH($B87&amp;$C87,'Smelter Look-up'!$J:$J,0))</f>
        <v>477</v>
      </c>
      <c r="W87" s="276"/>
      <c r="X87" s="276">
        <f t="shared" si="13"/>
        <v>0</v>
      </c>
      <c r="Y87" s="276"/>
      <c r="Z87" s="276"/>
      <c r="AB87" s="278" t="str">
        <f t="shared" si="14"/>
        <v>TinYunnan Tin Company Limited</v>
      </c>
    </row>
    <row r="88" spans="1:28" s="277" customFormat="1" ht="51">
      <c r="A88" s="347" t="s">
        <v>1856</v>
      </c>
      <c r="B88" s="348" t="s">
        <v>1154</v>
      </c>
      <c r="C88" s="352" t="s">
        <v>13267</v>
      </c>
      <c r="D88" s="348" t="s">
        <v>13267</v>
      </c>
      <c r="E88" s="348" t="s">
        <v>1118</v>
      </c>
      <c r="F88" s="348" t="s">
        <v>1856</v>
      </c>
      <c r="G88" s="348" t="s">
        <v>13577</v>
      </c>
      <c r="H88" s="349">
        <v>0</v>
      </c>
      <c r="I88" s="350" t="s">
        <v>1857</v>
      </c>
      <c r="J88" s="350" t="s">
        <v>3305</v>
      </c>
      <c r="K88" s="355"/>
      <c r="L88" s="355"/>
      <c r="M88" s="355"/>
      <c r="N88" s="355"/>
      <c r="O88" s="353"/>
      <c r="P88" s="351"/>
      <c r="Q88" s="354"/>
      <c r="R88" s="217" t="str">
        <f ca="1">IF(ISERROR($V88),"",OFFSET('Smelter Look-up'!$C$4,$V88-4,0)&amp;"")</f>
        <v>Metallo Belgium N.V.</v>
      </c>
      <c r="S88" s="225" t="str">
        <f t="shared" ca="1" si="12"/>
        <v>BE</v>
      </c>
      <c r="T88" s="225" t="str">
        <f ca="1">IF(B88="","",IF(ISERROR(MATCH($J88,SorP!$B$1:$B$6230,0)),"",INDIRECT("'SorP'!$A$"&amp;MATCH($J88,SorP!$B$1:$B$6230,0))))</f>
        <v>BE-VAN</v>
      </c>
      <c r="U88" s="241"/>
      <c r="V88" s="275">
        <f>IF(C88="",NA(),MATCH($B88&amp;$C88,'Smelter Look-up'!$J:$J,0))</f>
        <v>419</v>
      </c>
      <c r="W88" s="276"/>
      <c r="X88" s="276">
        <f t="shared" si="13"/>
        <v>0</v>
      </c>
      <c r="Y88" s="276"/>
      <c r="Z88" s="276"/>
      <c r="AB88" s="278" t="str">
        <f t="shared" si="14"/>
        <v>TinMetallo Belgium N.V.</v>
      </c>
    </row>
    <row r="89" spans="1:28" s="277" customFormat="1" ht="38.25">
      <c r="A89" s="347" t="s">
        <v>1858</v>
      </c>
      <c r="B89" s="348" t="s">
        <v>1154</v>
      </c>
      <c r="C89" s="352" t="s">
        <v>13268</v>
      </c>
      <c r="D89" s="348" t="s">
        <v>13268</v>
      </c>
      <c r="E89" s="348" t="s">
        <v>1125</v>
      </c>
      <c r="F89" s="348" t="s">
        <v>1858</v>
      </c>
      <c r="G89" s="348" t="s">
        <v>13577</v>
      </c>
      <c r="H89" s="349">
        <v>0</v>
      </c>
      <c r="I89" s="350" t="s">
        <v>1859</v>
      </c>
      <c r="J89" s="350" t="s">
        <v>12739</v>
      </c>
      <c r="K89" s="355"/>
      <c r="L89" s="355"/>
      <c r="M89" s="355"/>
      <c r="N89" s="355"/>
      <c r="O89" s="353"/>
      <c r="P89" s="351"/>
      <c r="Q89" s="354"/>
      <c r="R89" s="217" t="str">
        <f ca="1">IF(ISERROR($V89),"",OFFSET('Smelter Look-up'!$C$4,$V89-4,0)&amp;"")</f>
        <v>Metallo Spain S.L.U.</v>
      </c>
      <c r="S89" s="225" t="str">
        <f t="shared" ca="1" si="12"/>
        <v>ES</v>
      </c>
      <c r="T89" s="225" t="str">
        <f ca="1">IF(B89="","",IF(ISERROR(MATCH($J89,SorP!$B$1:$B$6230,0)),"",INDIRECT("'SorP'!$A$"&amp;MATCH($J89,SorP!$B$1:$B$6230,0))))</f>
        <v>ES-BI</v>
      </c>
      <c r="U89" s="241"/>
      <c r="V89" s="275">
        <f>IF(C89="",NA(),MATCH($B89&amp;$C89,'Smelter Look-up'!$J:$J,0))</f>
        <v>420</v>
      </c>
      <c r="W89" s="276"/>
      <c r="X89" s="276">
        <f t="shared" si="13"/>
        <v>0</v>
      </c>
      <c r="Y89" s="276"/>
      <c r="Z89" s="276"/>
      <c r="AB89" s="278" t="str">
        <f t="shared" si="14"/>
        <v>TinMetallo Spain S.L.U.</v>
      </c>
    </row>
    <row r="90" spans="1:28" s="277" customFormat="1" ht="20.25">
      <c r="A90" s="347"/>
      <c r="B90" s="348"/>
      <c r="C90" s="352"/>
      <c r="D90" s="348"/>
      <c r="E90" s="348"/>
      <c r="F90" s="348"/>
      <c r="G90" s="348"/>
      <c r="H90" s="349"/>
      <c r="I90" s="350"/>
      <c r="J90" s="350"/>
      <c r="K90" s="355"/>
      <c r="L90" s="355"/>
      <c r="M90" s="355"/>
      <c r="N90" s="355"/>
      <c r="O90" s="353"/>
      <c r="P90" s="351"/>
      <c r="Q90" s="35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si="13"/>
        <v>0</v>
      </c>
      <c r="Y90" s="276"/>
      <c r="Z90" s="276"/>
      <c r="AB90" s="278" t="str">
        <f t="shared" si="14"/>
        <v/>
      </c>
    </row>
    <row r="91" spans="1:28" s="277" customFormat="1" ht="20.25">
      <c r="A91" s="347"/>
      <c r="B91" s="348"/>
      <c r="C91" s="352"/>
      <c r="D91" s="348"/>
      <c r="E91" s="348"/>
      <c r="F91" s="348"/>
      <c r="G91" s="348"/>
      <c r="H91" s="349"/>
      <c r="I91" s="350"/>
      <c r="J91" s="350"/>
      <c r="K91" s="355"/>
      <c r="L91" s="355"/>
      <c r="M91" s="355"/>
      <c r="N91" s="355"/>
      <c r="O91" s="353"/>
      <c r="P91" s="351"/>
      <c r="Q91" s="354"/>
      <c r="R91" s="217"/>
      <c r="S91" s="225" t="str">
        <f t="shared" ca="1" si="12"/>
        <v/>
      </c>
      <c r="T91" s="225" t="str">
        <f ca="1">IF(B91="","",IF(ISERROR(MATCH($J91,SorP!$B$1:$B$6230,0)),"",INDIRECT("'SorP'!$A$"&amp;MATCH($J91,SorP!$B$1:$B$6230,0))))</f>
        <v/>
      </c>
      <c r="U91" s="241"/>
      <c r="V91" s="275" t="e">
        <f>IF(C91="",NA(),MATCH($B91&amp;$C91,'Smelter Look-up'!$J:$J,0))</f>
        <v>#N/A</v>
      </c>
      <c r="W91" s="276"/>
      <c r="X91" s="276">
        <f t="shared"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IsJ0IjW2zXCvGS5JGN6I/KA7nBUoJQk2x1FXy5XuzJf0jeDblVzWXhVxtezI7zkYgfRk6N80Cqpu192sgoH5tg==" saltValue="MS39vowXhO1lfjnDwUxbdg=="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5" type="noConversion"/>
  <conditionalFormatting sqref="B586:B2504">
    <cfRule type="expression" dxfId="55" priority="38" stopIfTrue="1">
      <formula>IF(B586="",TRUE)</formula>
    </cfRule>
    <cfRule type="expression" dxfId="54" priority="49" stopIfTrue="1">
      <formula>IF(AND(COUNTIF(MetalSmelter,B586&amp;C586)=0,LEN(C586)&gt;0),TRUE,FALSE)</formula>
    </cfRule>
  </conditionalFormatting>
  <conditionalFormatting sqref="D586:D2504">
    <cfRule type="expression" dxfId="53" priority="32" stopIfTrue="1">
      <formula>IF(AND(LEN($C586)&gt;0,($C586&lt;&gt;"Smelter Not Listed")),1,0)</formula>
    </cfRule>
    <cfRule type="expression" dxfId="52" priority="57" stopIfTrue="1">
      <formula>IF(AND(D586="",$C586=$X$4),TRUE)</formula>
    </cfRule>
    <cfRule type="expression" dxfId="51" priority="58" stopIfTrue="1">
      <formula>IF(FIND("!",D586),TRUE)</formula>
    </cfRule>
  </conditionalFormatting>
  <conditionalFormatting sqref="G586:G2504">
    <cfRule type="expression" dxfId="50" priority="59" stopIfTrue="1">
      <formula>IF(FIND("Enter smelter details",G586),TRUE)</formula>
    </cfRule>
  </conditionalFormatting>
  <conditionalFormatting sqref="R586:R2505 E586:E2504">
    <cfRule type="expression" dxfId="49" priority="45" stopIfTrue="1">
      <formula>IF(AND(E586="",$C586=$X$4),TRUE)</formula>
    </cfRule>
    <cfRule type="expression" dxfId="48" priority="46" stopIfTrue="1">
      <formula>IF(FIND("!",E586),TRUE)</formula>
    </cfRule>
  </conditionalFormatting>
  <conditionalFormatting sqref="F586:F2504">
    <cfRule type="expression" dxfId="47" priority="36" stopIfTrue="1">
      <formula>IF(AND(LEN($A586)&gt;0,$A586&lt;&gt;$F586),TRUE,FALSE)</formula>
    </cfRule>
  </conditionalFormatting>
  <conditionalFormatting sqref="C586:C2504">
    <cfRule type="expression" dxfId="46" priority="35" stopIfTrue="1">
      <formula>IF(AND(B586&lt;&gt;"",C586=""),TRUE)</formula>
    </cfRule>
  </conditionalFormatting>
  <conditionalFormatting sqref="B5:B19 B21:B585">
    <cfRule type="expression" dxfId="45" priority="14" stopIfTrue="1">
      <formula>IF(B5="",TRUE)</formula>
    </cfRule>
    <cfRule type="expression" dxfId="44" priority="17" stopIfTrue="1">
      <formula>IF(AND(COUNTIF(MetalSmelter,B5&amp;C5)=0,LEN(C5)&gt;0),TRUE,FALSE)</formula>
    </cfRule>
  </conditionalFormatting>
  <conditionalFormatting sqref="D5:D19 D21:D585">
    <cfRule type="expression" dxfId="43" priority="11" stopIfTrue="1">
      <formula>IF(AND(LEN($C5)&gt;0,($C5&lt;&gt;"Smelter Not Listed")),1,0)</formula>
    </cfRule>
    <cfRule type="expression" dxfId="42" priority="18" stopIfTrue="1">
      <formula>IF(AND(D5="",$C5=$X$4),TRUE)</formula>
    </cfRule>
    <cfRule type="expression" dxfId="41" priority="19" stopIfTrue="1">
      <formula>IF(FIND("!",D5),TRUE)</formula>
    </cfRule>
  </conditionalFormatting>
  <conditionalFormatting sqref="G5:G19 G21:G585">
    <cfRule type="expression" dxfId="40" priority="20" stopIfTrue="1">
      <formula>IF(FIND("Enter smelter details",G5),TRUE)</formula>
    </cfRule>
  </conditionalFormatting>
  <conditionalFormatting sqref="R5:R585 E5:E19 E21:E585">
    <cfRule type="expression" dxfId="39" priority="15" stopIfTrue="1">
      <formula>IF(AND(E5="",$C5=$X$4),TRUE)</formula>
    </cfRule>
    <cfRule type="expression" dxfId="38" priority="16" stopIfTrue="1">
      <formula>IF(FIND("!",E5),TRUE)</formula>
    </cfRule>
  </conditionalFormatting>
  <conditionalFormatting sqref="F5:F19 F21:F585">
    <cfRule type="expression" dxfId="37" priority="13" stopIfTrue="1">
      <formula>IF(AND(LEN($A5)&gt;0,$A5&lt;&gt;$F5),TRUE,FALSE)</formula>
    </cfRule>
  </conditionalFormatting>
  <conditionalFormatting sqref="C5:C19 C21:C585">
    <cfRule type="expression" dxfId="36" priority="12" stopIfTrue="1">
      <formula>IF(AND(B5&lt;&gt;"",C5=""),TRUE)</formula>
    </cfRule>
  </conditionalFormatting>
  <conditionalFormatting sqref="B20">
    <cfRule type="expression" dxfId="35" priority="4" stopIfTrue="1">
      <formula>IF(B20="",TRUE)</formula>
    </cfRule>
    <cfRule type="expression" dxfId="34" priority="7" stopIfTrue="1">
      <formula>IF(AND(COUNTIF(MetalSmelter,B20&amp;C20)=0,LEN(C20)&gt;0),TRUE,FALSE)</formula>
    </cfRule>
  </conditionalFormatting>
  <conditionalFormatting sqref="D20">
    <cfRule type="expression" dxfId="33" priority="1" stopIfTrue="1">
      <formula>IF(AND(LEN($C20)&gt;0,($C20&lt;&gt;"Smelter Not Listed")),1,0)</formula>
    </cfRule>
    <cfRule type="expression" dxfId="32" priority="8" stopIfTrue="1">
      <formula>IF(AND(D20="",$C20=$X$4),TRUE)</formula>
    </cfRule>
    <cfRule type="expression" dxfId="31" priority="9" stopIfTrue="1">
      <formula>IF(FIND("!",D20),TRUE)</formula>
    </cfRule>
  </conditionalFormatting>
  <conditionalFormatting sqref="G20">
    <cfRule type="expression" dxfId="30" priority="10" stopIfTrue="1">
      <formula>IF(FIND("Enter smelter details",G20),TRUE)</formula>
    </cfRule>
  </conditionalFormatting>
  <conditionalFormatting sqref="E20">
    <cfRule type="expression" dxfId="29" priority="5" stopIfTrue="1">
      <formula>IF(AND(E20="",$C20=$X$4),TRUE)</formula>
    </cfRule>
    <cfRule type="expression" dxfId="28" priority="6" stopIfTrue="1">
      <formula>IF(FIND("!",E20),TRUE)</formula>
    </cfRule>
  </conditionalFormatting>
  <conditionalFormatting sqref="F20">
    <cfRule type="expression" dxfId="27" priority="3" stopIfTrue="1">
      <formula>IF(AND(LEN($A20)&gt;0,$A20&lt;&gt;$F20),TRUE,FALSE)</formula>
    </cfRule>
  </conditionalFormatting>
  <conditionalFormatting sqref="C20">
    <cfRule type="expression" dxfId="26"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7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C&amp;K Switches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Amy Chen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ck.green@ckswitches.com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86-752-2273999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Tony Tan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ck.green@ckswitches.com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44050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https://www.ckswitches.com/about-us/environment/</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5" type="noConversion"/>
  <conditionalFormatting sqref="D56">
    <cfRule type="expression" dxfId="25" priority="358" stopIfTrue="1">
      <formula>$H$56=0</formula>
    </cfRule>
  </conditionalFormatting>
  <conditionalFormatting sqref="B66">
    <cfRule type="expression" dxfId="24" priority="39" stopIfTrue="1">
      <formula>IF(F66=0,TRUE)</formula>
    </cfRule>
  </conditionalFormatting>
  <conditionalFormatting sqref="B67">
    <cfRule type="expression" dxfId="23" priority="35" stopIfTrue="1">
      <formula>IF(F67=0,TRUE)</formula>
    </cfRule>
  </conditionalFormatting>
  <conditionalFormatting sqref="B68:B69">
    <cfRule type="expression" dxfId="22" priority="31" stopIfTrue="1">
      <formula>IF(F68=0,TRUE)</formula>
    </cfRule>
  </conditionalFormatting>
  <conditionalFormatting sqref="C69">
    <cfRule type="expression" dxfId="21" priority="13" stopIfTrue="1">
      <formula>C69="Not Required"</formula>
    </cfRule>
    <cfRule type="expression" dxfId="20" priority="21" stopIfTrue="1">
      <formula>OR(C69="Complete",C69="填写",C69="記入",C69="완료",C69="Complétez",C69="Concluído",C69="Vollständig",C69="Completare",C69="Doldurun")</formula>
    </cfRule>
  </conditionalFormatting>
  <conditionalFormatting sqref="A69">
    <cfRule type="expression" dxfId="19" priority="14" stopIfTrue="1">
      <formula>C69="Not Required"</formula>
    </cfRule>
    <cfRule type="expression" dxfId="18"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7" priority="347" stopIfTrue="1">
      <formula>$F4=0</formula>
    </cfRule>
    <cfRule type="expression" dxfId="16" priority="348" stopIfTrue="1">
      <formula>$H4=0</formula>
    </cfRule>
    <cfRule type="expression" dxfId="15" priority="349" stopIfTrue="1">
      <formula>$H4=1</formula>
    </cfRule>
  </conditionalFormatting>
  <conditionalFormatting sqref="C69 A69">
    <cfRule type="expression" dxfId="14" priority="11" stopIfTrue="1">
      <formula>IF(AND($F$69=1,$G$69=1),TRUE,FALSE)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5">
    <cfRule type="expression" dxfId="10" priority="1" stopIfTrue="1">
      <formula>IF(F65=0,TRUE)</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45"/>
    </row>
    <row r="2" spans="1:6">
      <c r="A2" s="29"/>
      <c r="B2" s="147"/>
      <c r="C2" s="147"/>
      <c r="D2"/>
      <c r="E2" s="30"/>
    </row>
    <row r="3" spans="1:6">
      <c r="A3" s="29"/>
      <c r="B3" s="147"/>
      <c r="C3" s="147"/>
      <c r="D3" s="147"/>
      <c r="E3" s="30"/>
    </row>
    <row r="4" spans="1:6" ht="15.75" customHeight="1">
      <c r="A4" s="29"/>
      <c r="B4" s="447" t="s">
        <v>921</v>
      </c>
      <c r="C4" s="447"/>
      <c r="D4" s="447"/>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0" t="str">
        <f ca="1">OFFSET(L!$C$1,MATCH("General"&amp;"Cpy",L!$A:$A,0)-1,SL,,)</f>
        <v>© 2020 Responsible Minerals Initiative. All rights reserved.</v>
      </c>
      <c r="C1001" s="450"/>
      <c r="D1001" s="450"/>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5"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216" activePane="bottomLeft" state="frozen"/>
      <selection activeCell="A4" sqref="A4"/>
      <selection pane="bottomLeft" activeCell="C227" sqref="C227"/>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5" type="noConversion"/>
  <conditionalFormatting sqref="J295:J352 J355:J483 J5:J292 J486:J591">
    <cfRule type="cellIs" dxfId="6" priority="21" stopIfTrue="1" operator="equal">
      <formula>"Yes"</formula>
    </cfRule>
  </conditionalFormatting>
  <conditionalFormatting sqref="K5">
    <cfRule type="cellIs" dxfId="5" priority="5" stopIfTrue="1" operator="equal">
      <formula>"Yes"</formula>
    </cfRule>
  </conditionalFormatting>
  <conditionalFormatting sqref="J293:J294">
    <cfRule type="cellIs" dxfId="4" priority="3" stopIfTrue="1" operator="equal">
      <formula>"Yes"</formula>
    </cfRule>
  </conditionalFormatting>
  <conditionalFormatting sqref="J353:J354">
    <cfRule type="cellIs" dxfId="3" priority="2" stopIfTrue="1" operator="equal">
      <formula>"Yes"</formula>
    </cfRule>
  </conditionalFormatting>
  <conditionalFormatting sqref="J484:J485">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84.7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8.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14.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48.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99">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3">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10">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94.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75.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70.5">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1.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42.75">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8.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42">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71">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27.75">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42.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71">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42.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14">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42">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56.75">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8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99.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54">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40.5">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28.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8.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8.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2.75">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8.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7">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2.75">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2.75">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2.75">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71.2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5"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060324a1-f66f-4c36-a8ec-beadbf2f4219"/>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Chen, Amy - C&amp;K Huizhou</cp:lastModifiedBy>
  <cp:lastPrinted>2015-04-21T20:47:43Z</cp:lastPrinted>
  <dcterms:created xsi:type="dcterms:W3CDTF">2010-06-21T21:00:23Z</dcterms:created>
  <dcterms:modified xsi:type="dcterms:W3CDTF">2020-08-12T00:44:32Z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